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Estimates\DATA\Blaze\Sample\Sample\"/>
    </mc:Choice>
  </mc:AlternateContent>
  <xr:revisionPtr revIDLastSave="0" documentId="13_ncr:1_{79BE6E99-9571-42E5-AFDB-7862BC7276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keoff" sheetId="1" r:id="rId1"/>
  </sheets>
  <definedNames>
    <definedName name="_xlnm._FilterDatabase" localSheetId="0" hidden="1">Takeoff!$H$1:$H$3851</definedName>
  </definedNames>
  <calcPr calcId="181029"/>
</workbook>
</file>

<file path=xl/calcChain.xml><?xml version="1.0" encoding="utf-8"?>
<calcChain xmlns="http://schemas.openxmlformats.org/spreadsheetml/2006/main">
  <c r="O299" i="1" l="1"/>
  <c r="O296" i="1"/>
  <c r="O295" i="1"/>
  <c r="O292" i="1"/>
  <c r="O289" i="1"/>
  <c r="O286" i="1"/>
  <c r="O285" i="1"/>
  <c r="O282" i="1"/>
  <c r="O281" i="1"/>
  <c r="O280" i="1"/>
  <c r="O278" i="1"/>
  <c r="O277" i="1"/>
  <c r="O276" i="1"/>
  <c r="O275" i="1"/>
  <c r="O274" i="1"/>
  <c r="O273" i="1"/>
  <c r="O272" i="1"/>
  <c r="O267" i="1"/>
  <c r="O264" i="1"/>
  <c r="O259" i="1"/>
  <c r="O258" i="1"/>
  <c r="O256" i="1"/>
  <c r="O255" i="1"/>
  <c r="O254" i="1"/>
  <c r="O252" i="1"/>
  <c r="O251" i="1"/>
  <c r="O250" i="1"/>
  <c r="O248" i="1"/>
  <c r="O246" i="1"/>
  <c r="O245" i="1"/>
  <c r="O242" i="1"/>
  <c r="O241" i="1"/>
  <c r="O238" i="1"/>
  <c r="O236" i="1"/>
  <c r="O235" i="1"/>
  <c r="O234" i="1"/>
  <c r="O231" i="1"/>
  <c r="O230" i="1"/>
  <c r="O229" i="1"/>
  <c r="O228" i="1"/>
  <c r="O227" i="1"/>
  <c r="O225" i="1"/>
  <c r="O224" i="1"/>
  <c r="O223" i="1"/>
  <c r="O222" i="1"/>
  <c r="O221" i="1"/>
  <c r="O219" i="1"/>
  <c r="O218" i="1"/>
  <c r="O217" i="1"/>
  <c r="O216" i="1"/>
  <c r="O215" i="1"/>
  <c r="O213" i="1"/>
  <c r="O212" i="1"/>
  <c r="O211" i="1"/>
  <c r="O210" i="1"/>
  <c r="O209" i="1"/>
  <c r="O206" i="1"/>
  <c r="O205" i="1"/>
  <c r="O204" i="1"/>
  <c r="O202" i="1"/>
  <c r="O201" i="1"/>
  <c r="O200" i="1"/>
  <c r="O198" i="1"/>
  <c r="O197" i="1"/>
  <c r="O196" i="1"/>
  <c r="O194" i="1"/>
  <c r="O193" i="1"/>
  <c r="O192" i="1"/>
  <c r="O190" i="1"/>
  <c r="O189" i="1"/>
  <c r="O188" i="1"/>
  <c r="O186" i="1"/>
  <c r="O185" i="1"/>
  <c r="O184" i="1"/>
  <c r="O182" i="1"/>
  <c r="O181" i="1"/>
  <c r="O180" i="1"/>
  <c r="O177" i="1"/>
  <c r="O174" i="1"/>
  <c r="O173" i="1"/>
  <c r="O172" i="1"/>
  <c r="O170" i="1"/>
  <c r="O169" i="1"/>
  <c r="O168" i="1"/>
  <c r="O166" i="1"/>
  <c r="O165" i="1"/>
  <c r="O164" i="1"/>
  <c r="O161" i="1"/>
  <c r="O158" i="1"/>
  <c r="O157" i="1"/>
  <c r="O156" i="1"/>
  <c r="O155" i="1"/>
  <c r="O154" i="1"/>
  <c r="O152" i="1"/>
  <c r="O151" i="1"/>
  <c r="O150" i="1"/>
  <c r="O149" i="1"/>
  <c r="O148" i="1"/>
  <c r="O146" i="1"/>
  <c r="O145" i="1"/>
  <c r="O144" i="1"/>
  <c r="O143" i="1"/>
  <c r="O142" i="1"/>
  <c r="O139" i="1"/>
  <c r="O138" i="1"/>
  <c r="O137" i="1"/>
  <c r="O135" i="1"/>
  <c r="O134" i="1"/>
  <c r="O133" i="1"/>
  <c r="O131" i="1"/>
  <c r="O130" i="1"/>
  <c r="O129" i="1"/>
  <c r="O127" i="1"/>
  <c r="O126" i="1"/>
  <c r="O125" i="1"/>
  <c r="O123" i="1"/>
  <c r="O122" i="1"/>
  <c r="O121" i="1"/>
  <c r="O119" i="1"/>
  <c r="O118" i="1"/>
  <c r="O117" i="1"/>
  <c r="O115" i="1"/>
  <c r="O114" i="1"/>
  <c r="O113" i="1"/>
  <c r="O111" i="1"/>
  <c r="O110" i="1"/>
  <c r="O109" i="1"/>
  <c r="O107" i="1"/>
  <c r="O106" i="1"/>
  <c r="O105" i="1"/>
  <c r="O103" i="1"/>
  <c r="O102" i="1"/>
  <c r="O101" i="1"/>
  <c r="O99" i="1"/>
  <c r="O98" i="1"/>
  <c r="O97" i="1"/>
  <c r="O95" i="1"/>
  <c r="O94" i="1"/>
  <c r="O93" i="1"/>
  <c r="O90" i="1"/>
  <c r="O89" i="1"/>
  <c r="O88" i="1"/>
  <c r="O85" i="1"/>
  <c r="O84" i="1"/>
  <c r="O83" i="1"/>
  <c r="O82" i="1"/>
  <c r="O81" i="1"/>
  <c r="O79" i="1"/>
  <c r="O78" i="1"/>
  <c r="O77" i="1"/>
  <c r="O76" i="1"/>
  <c r="O75" i="1"/>
  <c r="O73" i="1"/>
  <c r="O72" i="1"/>
  <c r="O71" i="1"/>
  <c r="O70" i="1"/>
  <c r="O69" i="1"/>
  <c r="O67" i="1"/>
  <c r="O66" i="1"/>
  <c r="O65" i="1"/>
  <c r="O64" i="1"/>
  <c r="O63" i="1"/>
  <c r="O61" i="1"/>
  <c r="O60" i="1"/>
  <c r="O59" i="1"/>
  <c r="O58" i="1"/>
  <c r="O57" i="1"/>
  <c r="O55" i="1"/>
  <c r="O54" i="1"/>
  <c r="O53" i="1"/>
  <c r="O52" i="1"/>
  <c r="O51" i="1"/>
  <c r="O49" i="1"/>
  <c r="O48" i="1"/>
  <c r="O47" i="1"/>
  <c r="O46" i="1"/>
  <c r="O45" i="1"/>
  <c r="O43" i="1"/>
  <c r="O42" i="1"/>
  <c r="O41" i="1"/>
  <c r="O40" i="1"/>
  <c r="O39" i="1"/>
  <c r="O37" i="1"/>
  <c r="O36" i="1"/>
  <c r="O35" i="1"/>
  <c r="O34" i="1"/>
  <c r="O33" i="1"/>
  <c r="O31" i="1"/>
  <c r="O30" i="1"/>
  <c r="O29" i="1"/>
  <c r="O28" i="1"/>
  <c r="O27" i="1"/>
  <c r="O25" i="1"/>
  <c r="O24" i="1"/>
  <c r="O23" i="1"/>
  <c r="O22" i="1"/>
  <c r="E216" i="1"/>
  <c r="P64" i="1" l="1"/>
  <c r="P59" i="1"/>
  <c r="P123" i="1"/>
  <c r="P23" i="1"/>
  <c r="P47" i="1"/>
  <c r="P52" i="1"/>
  <c r="P83" i="1"/>
  <c r="P89" i="1"/>
  <c r="P117" i="1"/>
  <c r="P125" i="1"/>
  <c r="P130" i="1"/>
  <c r="P180" i="1"/>
  <c r="P221" i="1"/>
  <c r="P53" i="1"/>
  <c r="P72" i="1"/>
  <c r="P129" i="1"/>
  <c r="P275" i="1"/>
  <c r="P282" i="1"/>
  <c r="P35" i="1"/>
  <c r="P40" i="1"/>
  <c r="P60" i="1"/>
  <c r="P230" i="1"/>
  <c r="P98" i="1"/>
  <c r="P103" i="1"/>
  <c r="P114" i="1"/>
  <c r="P127" i="1"/>
  <c r="P150" i="1"/>
  <c r="P189" i="1"/>
  <c r="P84" i="1"/>
  <c r="P102" i="1"/>
  <c r="P113" i="1"/>
  <c r="P135" i="1"/>
  <c r="P155" i="1"/>
  <c r="P174" i="1"/>
  <c r="P215" i="1"/>
  <c r="P251" i="1"/>
  <c r="P144" i="1"/>
  <c r="P149" i="1"/>
  <c r="P166" i="1"/>
  <c r="P181" i="1"/>
  <c r="P186" i="1"/>
  <c r="P202" i="1"/>
  <c r="P212" i="1"/>
  <c r="P234" i="1"/>
  <c r="P259" i="1"/>
  <c r="P296" i="1"/>
  <c r="P190" i="1"/>
  <c r="P196" i="1"/>
  <c r="P211" i="1"/>
  <c r="P238" i="1"/>
  <c r="P272" i="1"/>
  <c r="P222" i="1"/>
  <c r="P242" i="1"/>
  <c r="P274" i="1"/>
  <c r="P285" i="1"/>
  <c r="P289" i="1"/>
  <c r="P11" i="1"/>
  <c r="P12" i="1"/>
  <c r="P13" i="1"/>
  <c r="P14" i="1"/>
  <c r="P15" i="1"/>
  <c r="P16" i="1"/>
  <c r="P10" i="1"/>
  <c r="A269" i="1"/>
  <c r="A268" i="1"/>
  <c r="G264" i="1"/>
  <c r="P264" i="1" s="1"/>
  <c r="A17" i="1"/>
  <c r="A18" i="1"/>
  <c r="A19" i="1"/>
  <c r="A20" i="1"/>
  <c r="A26" i="1"/>
  <c r="A32" i="1"/>
  <c r="A38" i="1"/>
  <c r="A44" i="1"/>
  <c r="A50" i="1"/>
  <c r="A56" i="1"/>
  <c r="A62" i="1"/>
  <c r="A68" i="1"/>
  <c r="A74" i="1"/>
  <c r="A80" i="1"/>
  <c r="A86" i="1"/>
  <c r="A87" i="1"/>
  <c r="A91" i="1"/>
  <c r="A92" i="1"/>
  <c r="A96" i="1"/>
  <c r="A100" i="1"/>
  <c r="A104" i="1"/>
  <c r="A108" i="1"/>
  <c r="A112" i="1"/>
  <c r="A116" i="1"/>
  <c r="A120" i="1"/>
  <c r="A124" i="1"/>
  <c r="A128" i="1"/>
  <c r="A132" i="1"/>
  <c r="A136" i="1"/>
  <c r="A140" i="1"/>
  <c r="A141" i="1"/>
  <c r="A147" i="1"/>
  <c r="A153" i="1"/>
  <c r="A159" i="1"/>
  <c r="A160" i="1"/>
  <c r="A162" i="1"/>
  <c r="A163" i="1"/>
  <c r="A167" i="1"/>
  <c r="A171" i="1"/>
  <c r="A175" i="1"/>
  <c r="A176" i="1"/>
  <c r="A178" i="1"/>
  <c r="A179" i="1"/>
  <c r="A183" i="1"/>
  <c r="A187" i="1"/>
  <c r="A191" i="1"/>
  <c r="A195" i="1"/>
  <c r="A199" i="1"/>
  <c r="A203" i="1"/>
  <c r="A207" i="1"/>
  <c r="A208" i="1"/>
  <c r="A214" i="1"/>
  <c r="A220" i="1"/>
  <c r="A226" i="1"/>
  <c r="A232" i="1"/>
  <c r="A233" i="1"/>
  <c r="A237" i="1"/>
  <c r="A239" i="1"/>
  <c r="A240" i="1"/>
  <c r="A243" i="1"/>
  <c r="A244" i="1"/>
  <c r="A247" i="1"/>
  <c r="A249" i="1"/>
  <c r="A253" i="1"/>
  <c r="A257" i="1"/>
  <c r="A260" i="1"/>
  <c r="A261" i="1"/>
  <c r="A270" i="1"/>
  <c r="A271" i="1"/>
  <c r="A279" i="1"/>
  <c r="A283" i="1"/>
  <c r="A284" i="1"/>
  <c r="A287" i="1"/>
  <c r="A288" i="1"/>
  <c r="A290" i="1"/>
  <c r="A291" i="1"/>
  <c r="A293" i="1"/>
  <c r="A294" i="1"/>
  <c r="A297" i="1"/>
  <c r="A298" i="1"/>
  <c r="G286" i="1"/>
  <c r="G285" i="1"/>
  <c r="G275" i="1"/>
  <c r="G274" i="1"/>
  <c r="G273" i="1"/>
  <c r="G272" i="1"/>
  <c r="G281" i="1"/>
  <c r="G277" i="1"/>
  <c r="G256" i="1"/>
  <c r="G255" i="1"/>
  <c r="P255" i="1" s="1"/>
  <c r="G251" i="1"/>
  <c r="G246" i="1"/>
  <c r="G235" i="1"/>
  <c r="E299" i="1"/>
  <c r="G299" i="1" s="1"/>
  <c r="E296" i="1"/>
  <c r="G296" i="1" s="1"/>
  <c r="E295" i="1"/>
  <c r="G295" i="1" s="1"/>
  <c r="E292" i="1"/>
  <c r="G292" i="1" s="1"/>
  <c r="E289" i="1"/>
  <c r="G289" i="1" s="1"/>
  <c r="E282" i="1"/>
  <c r="G282" i="1" s="1"/>
  <c r="E280" i="1"/>
  <c r="G280" i="1" s="1"/>
  <c r="E278" i="1"/>
  <c r="G278" i="1" s="1"/>
  <c r="E276" i="1"/>
  <c r="G276" i="1" s="1"/>
  <c r="E259" i="1"/>
  <c r="G259" i="1" s="1"/>
  <c r="E258" i="1"/>
  <c r="G258" i="1" s="1"/>
  <c r="P258" i="1" s="1"/>
  <c r="E254" i="1"/>
  <c r="G254" i="1" s="1"/>
  <c r="E252" i="1"/>
  <c r="G252" i="1" s="1"/>
  <c r="P252" i="1" s="1"/>
  <c r="E250" i="1"/>
  <c r="G250" i="1" s="1"/>
  <c r="E248" i="1"/>
  <c r="G248" i="1" s="1"/>
  <c r="E245" i="1"/>
  <c r="G245" i="1" s="1"/>
  <c r="E242" i="1"/>
  <c r="G242" i="1" s="1"/>
  <c r="E241" i="1"/>
  <c r="G241" i="1" s="1"/>
  <c r="E238" i="1"/>
  <c r="G238" i="1" s="1"/>
  <c r="E236" i="1"/>
  <c r="G236" i="1" s="1"/>
  <c r="E234" i="1"/>
  <c r="G234" i="1" s="1"/>
  <c r="E230" i="1"/>
  <c r="G230" i="1" s="1"/>
  <c r="E229" i="1"/>
  <c r="G229" i="1" s="1"/>
  <c r="E228" i="1"/>
  <c r="G228" i="1" s="1"/>
  <c r="E227" i="1"/>
  <c r="G227" i="1" s="1"/>
  <c r="P227" i="1" s="1"/>
  <c r="E224" i="1"/>
  <c r="G224" i="1" s="1"/>
  <c r="E223" i="1"/>
  <c r="G223" i="1" s="1"/>
  <c r="E222" i="1"/>
  <c r="G222" i="1" s="1"/>
  <c r="E221" i="1"/>
  <c r="G221" i="1" s="1"/>
  <c r="E218" i="1"/>
  <c r="G218" i="1" s="1"/>
  <c r="E217" i="1"/>
  <c r="G217" i="1" s="1"/>
  <c r="G216" i="1"/>
  <c r="E215" i="1"/>
  <c r="G215" i="1" s="1"/>
  <c r="E212" i="1"/>
  <c r="G212" i="1" s="1"/>
  <c r="E211" i="1"/>
  <c r="G211" i="1" s="1"/>
  <c r="E210" i="1"/>
  <c r="G210" i="1" s="1"/>
  <c r="E209" i="1"/>
  <c r="G209" i="1" s="1"/>
  <c r="E206" i="1"/>
  <c r="G206" i="1" s="1"/>
  <c r="E205" i="1"/>
  <c r="G205" i="1" s="1"/>
  <c r="E204" i="1"/>
  <c r="G204" i="1" s="1"/>
  <c r="E202" i="1"/>
  <c r="G202" i="1" s="1"/>
  <c r="E201" i="1"/>
  <c r="G201" i="1" s="1"/>
  <c r="E200" i="1"/>
  <c r="G200" i="1" s="1"/>
  <c r="P200" i="1" s="1"/>
  <c r="E198" i="1"/>
  <c r="G198" i="1" s="1"/>
  <c r="E197" i="1"/>
  <c r="G197" i="1" s="1"/>
  <c r="P197" i="1" s="1"/>
  <c r="E196" i="1"/>
  <c r="G196" i="1" s="1"/>
  <c r="E194" i="1"/>
  <c r="G194" i="1" s="1"/>
  <c r="E193" i="1"/>
  <c r="G193" i="1" s="1"/>
  <c r="E192" i="1"/>
  <c r="G192" i="1" s="1"/>
  <c r="E190" i="1"/>
  <c r="G190" i="1" s="1"/>
  <c r="E189" i="1"/>
  <c r="G189" i="1" s="1"/>
  <c r="E188" i="1"/>
  <c r="G188" i="1" s="1"/>
  <c r="E186" i="1"/>
  <c r="G186" i="1" s="1"/>
  <c r="E185" i="1"/>
  <c r="G185" i="1" s="1"/>
  <c r="E184" i="1"/>
  <c r="G184" i="1" s="1"/>
  <c r="E182" i="1"/>
  <c r="G182" i="1" s="1"/>
  <c r="E181" i="1"/>
  <c r="G181" i="1" s="1"/>
  <c r="E180" i="1"/>
  <c r="G180" i="1" s="1"/>
  <c r="E161" i="1"/>
  <c r="G161" i="1" s="1"/>
  <c r="E157" i="1"/>
  <c r="G157" i="1" s="1"/>
  <c r="E156" i="1"/>
  <c r="G156" i="1" s="1"/>
  <c r="P156" i="1" s="1"/>
  <c r="E155" i="1"/>
  <c r="G155" i="1" s="1"/>
  <c r="E154" i="1"/>
  <c r="G154" i="1" s="1"/>
  <c r="E151" i="1"/>
  <c r="G151" i="1" s="1"/>
  <c r="E150" i="1"/>
  <c r="G150" i="1" s="1"/>
  <c r="E149" i="1"/>
  <c r="G149" i="1" s="1"/>
  <c r="E148" i="1"/>
  <c r="G148" i="1" s="1"/>
  <c r="E145" i="1"/>
  <c r="G145" i="1" s="1"/>
  <c r="E144" i="1"/>
  <c r="G144" i="1" s="1"/>
  <c r="E143" i="1"/>
  <c r="G143" i="1" s="1"/>
  <c r="E142" i="1"/>
  <c r="G142" i="1" s="1"/>
  <c r="E177" i="1"/>
  <c r="G177" i="1" s="1"/>
  <c r="E174" i="1"/>
  <c r="G174" i="1" s="1"/>
  <c r="E173" i="1"/>
  <c r="G173" i="1" s="1"/>
  <c r="E172" i="1"/>
  <c r="G172" i="1" s="1"/>
  <c r="E170" i="1"/>
  <c r="G170" i="1" s="1"/>
  <c r="E169" i="1"/>
  <c r="G169" i="1" s="1"/>
  <c r="E168" i="1"/>
  <c r="G168" i="1" s="1"/>
  <c r="E166" i="1"/>
  <c r="G166" i="1" s="1"/>
  <c r="E165" i="1"/>
  <c r="G165" i="1" s="1"/>
  <c r="E164" i="1"/>
  <c r="G164" i="1" s="1"/>
  <c r="E139" i="1"/>
  <c r="G139" i="1" s="1"/>
  <c r="E138" i="1"/>
  <c r="G138" i="1" s="1"/>
  <c r="P138" i="1" s="1"/>
  <c r="E137" i="1"/>
  <c r="G137" i="1" s="1"/>
  <c r="E135" i="1"/>
  <c r="G135" i="1" s="1"/>
  <c r="E134" i="1"/>
  <c r="G134" i="1" s="1"/>
  <c r="E133" i="1"/>
  <c r="G133" i="1" s="1"/>
  <c r="P133" i="1" s="1"/>
  <c r="E131" i="1"/>
  <c r="G131" i="1" s="1"/>
  <c r="E130" i="1"/>
  <c r="G130" i="1" s="1"/>
  <c r="E129" i="1"/>
  <c r="G129" i="1" s="1"/>
  <c r="E127" i="1"/>
  <c r="G127" i="1" s="1"/>
  <c r="E126" i="1"/>
  <c r="G126" i="1" s="1"/>
  <c r="E125" i="1"/>
  <c r="G125" i="1" s="1"/>
  <c r="E123" i="1"/>
  <c r="G123" i="1" s="1"/>
  <c r="E122" i="1"/>
  <c r="G122" i="1" s="1"/>
  <c r="P122" i="1" s="1"/>
  <c r="E121" i="1"/>
  <c r="G121" i="1" s="1"/>
  <c r="E119" i="1"/>
  <c r="G119" i="1" s="1"/>
  <c r="E118" i="1"/>
  <c r="G118" i="1" s="1"/>
  <c r="E117" i="1"/>
  <c r="G117" i="1" s="1"/>
  <c r="E115" i="1"/>
  <c r="G115" i="1" s="1"/>
  <c r="E114" i="1"/>
  <c r="G114" i="1" s="1"/>
  <c r="E113" i="1"/>
  <c r="G113" i="1" s="1"/>
  <c r="E111" i="1"/>
  <c r="G111" i="1" s="1"/>
  <c r="E110" i="1"/>
  <c r="G110" i="1" s="1"/>
  <c r="E109" i="1"/>
  <c r="G109" i="1" s="1"/>
  <c r="P109" i="1" s="1"/>
  <c r="E107" i="1"/>
  <c r="G107" i="1" s="1"/>
  <c r="E106" i="1"/>
  <c r="G106" i="1" s="1"/>
  <c r="E105" i="1"/>
  <c r="G105" i="1" s="1"/>
  <c r="E103" i="1"/>
  <c r="G103" i="1" s="1"/>
  <c r="E102" i="1"/>
  <c r="G102" i="1" s="1"/>
  <c r="E101" i="1"/>
  <c r="G101" i="1" s="1"/>
  <c r="E99" i="1"/>
  <c r="G99" i="1" s="1"/>
  <c r="E98" i="1"/>
  <c r="G98" i="1" s="1"/>
  <c r="E97" i="1"/>
  <c r="G97" i="1" s="1"/>
  <c r="E95" i="1"/>
  <c r="G95" i="1" s="1"/>
  <c r="E94" i="1"/>
  <c r="G94" i="1" s="1"/>
  <c r="E93" i="1"/>
  <c r="G93" i="1" s="1"/>
  <c r="P93" i="1" s="1"/>
  <c r="E90" i="1"/>
  <c r="G90" i="1" s="1"/>
  <c r="E89" i="1"/>
  <c r="G89" i="1" s="1"/>
  <c r="E88" i="1"/>
  <c r="G88" i="1" s="1"/>
  <c r="E84" i="1"/>
  <c r="G84" i="1" s="1"/>
  <c r="E83" i="1"/>
  <c r="G83" i="1" s="1"/>
  <c r="E82" i="1"/>
  <c r="G82" i="1" s="1"/>
  <c r="E81" i="1"/>
  <c r="G81" i="1" s="1"/>
  <c r="E78" i="1"/>
  <c r="G78" i="1" s="1"/>
  <c r="P78" i="1" s="1"/>
  <c r="E77" i="1"/>
  <c r="G77" i="1" s="1"/>
  <c r="E76" i="1"/>
  <c r="G76" i="1" s="1"/>
  <c r="P76" i="1" s="1"/>
  <c r="E75" i="1"/>
  <c r="G75" i="1" s="1"/>
  <c r="E72" i="1"/>
  <c r="G72" i="1" s="1"/>
  <c r="E71" i="1"/>
  <c r="G71" i="1" s="1"/>
  <c r="E70" i="1"/>
  <c r="G70" i="1" s="1"/>
  <c r="E69" i="1"/>
  <c r="G69" i="1" s="1"/>
  <c r="E66" i="1"/>
  <c r="G66" i="1" s="1"/>
  <c r="P66" i="1" s="1"/>
  <c r="E65" i="1"/>
  <c r="G65" i="1" s="1"/>
  <c r="E64" i="1"/>
  <c r="G64" i="1" s="1"/>
  <c r="E63" i="1"/>
  <c r="G63" i="1" s="1"/>
  <c r="E60" i="1"/>
  <c r="G60" i="1" s="1"/>
  <c r="E59" i="1"/>
  <c r="G59" i="1" s="1"/>
  <c r="E58" i="1"/>
  <c r="G58" i="1" s="1"/>
  <c r="E57" i="1"/>
  <c r="G57" i="1" s="1"/>
  <c r="E54" i="1"/>
  <c r="G54" i="1" s="1"/>
  <c r="P54" i="1" s="1"/>
  <c r="E53" i="1"/>
  <c r="G53" i="1" s="1"/>
  <c r="E52" i="1"/>
  <c r="G52" i="1" s="1"/>
  <c r="E51" i="1"/>
  <c r="G51" i="1" s="1"/>
  <c r="E48" i="1"/>
  <c r="G48" i="1" s="1"/>
  <c r="P48" i="1" s="1"/>
  <c r="E47" i="1"/>
  <c r="G47" i="1" s="1"/>
  <c r="E46" i="1"/>
  <c r="G46" i="1" s="1"/>
  <c r="E45" i="1"/>
  <c r="G45" i="1" s="1"/>
  <c r="E42" i="1"/>
  <c r="G42" i="1" s="1"/>
  <c r="E41" i="1"/>
  <c r="G41" i="1" s="1"/>
  <c r="E40" i="1"/>
  <c r="G40" i="1" s="1"/>
  <c r="E39" i="1"/>
  <c r="G39" i="1" s="1"/>
  <c r="E36" i="1"/>
  <c r="G36" i="1" s="1"/>
  <c r="E35" i="1"/>
  <c r="G35" i="1" s="1"/>
  <c r="E34" i="1"/>
  <c r="G34" i="1" s="1"/>
  <c r="P34" i="1" s="1"/>
  <c r="E33" i="1"/>
  <c r="G33" i="1" s="1"/>
  <c r="E30" i="1"/>
  <c r="G30" i="1" s="1"/>
  <c r="P30" i="1" s="1"/>
  <c r="E29" i="1"/>
  <c r="G29" i="1" s="1"/>
  <c r="E28" i="1"/>
  <c r="G28" i="1" s="1"/>
  <c r="E27" i="1"/>
  <c r="G27" i="1" s="1"/>
  <c r="E24" i="1"/>
  <c r="G24" i="1" s="1"/>
  <c r="P24" i="1" s="1"/>
  <c r="E23" i="1"/>
  <c r="G23" i="1" s="1"/>
  <c r="E22" i="1"/>
  <c r="G22" i="1" s="1"/>
  <c r="E21" i="1"/>
  <c r="G21" i="1" s="1"/>
  <c r="M39" i="1" l="1"/>
  <c r="J39" i="1"/>
  <c r="L39" i="1" s="1"/>
  <c r="P39" i="1"/>
  <c r="M57" i="1"/>
  <c r="J57" i="1"/>
  <c r="L57" i="1" s="1"/>
  <c r="P57" i="1"/>
  <c r="M69" i="1"/>
  <c r="J69" i="1"/>
  <c r="L69" i="1" s="1"/>
  <c r="P69" i="1"/>
  <c r="J88" i="1"/>
  <c r="L88" i="1" s="1"/>
  <c r="M88" i="1"/>
  <c r="P88" i="1"/>
  <c r="P105" i="1"/>
  <c r="J105" i="1"/>
  <c r="L105" i="1" s="1"/>
  <c r="M105" i="1"/>
  <c r="M121" i="1"/>
  <c r="J121" i="1"/>
  <c r="L121" i="1" s="1"/>
  <c r="P121" i="1"/>
  <c r="M137" i="1"/>
  <c r="J137" i="1"/>
  <c r="L137" i="1" s="1"/>
  <c r="P137" i="1"/>
  <c r="M177" i="1"/>
  <c r="J177" i="1"/>
  <c r="L177" i="1" s="1"/>
  <c r="P177" i="1"/>
  <c r="M151" i="1"/>
  <c r="J151" i="1"/>
  <c r="L151" i="1" s="1"/>
  <c r="P151" i="1"/>
  <c r="J188" i="1"/>
  <c r="L188" i="1" s="1"/>
  <c r="M188" i="1"/>
  <c r="P188" i="1"/>
  <c r="M210" i="1"/>
  <c r="J210" i="1"/>
  <c r="L210" i="1" s="1"/>
  <c r="P210" i="1"/>
  <c r="J216" i="1"/>
  <c r="L216" i="1" s="1"/>
  <c r="M216" i="1"/>
  <c r="P216" i="1"/>
  <c r="M236" i="1"/>
  <c r="J236" i="1"/>
  <c r="L236" i="1" s="1"/>
  <c r="P236" i="1"/>
  <c r="M292" i="1"/>
  <c r="J292" i="1"/>
  <c r="L292" i="1" s="1"/>
  <c r="P292" i="1"/>
  <c r="M273" i="1"/>
  <c r="J273" i="1"/>
  <c r="L273" i="1" s="1"/>
  <c r="P273" i="1"/>
  <c r="M27" i="1"/>
  <c r="J27" i="1"/>
  <c r="L27" i="1" s="1"/>
  <c r="P27" i="1"/>
  <c r="M45" i="1"/>
  <c r="J45" i="1"/>
  <c r="L45" i="1" s="1"/>
  <c r="P45" i="1"/>
  <c r="J63" i="1"/>
  <c r="L63" i="1" s="1"/>
  <c r="M63" i="1"/>
  <c r="P63" i="1"/>
  <c r="J81" i="1"/>
  <c r="L81" i="1" s="1"/>
  <c r="M81" i="1"/>
  <c r="P81" i="1"/>
  <c r="J99" i="1"/>
  <c r="L99" i="1" s="1"/>
  <c r="M99" i="1"/>
  <c r="P99" i="1"/>
  <c r="J115" i="1"/>
  <c r="L115" i="1" s="1"/>
  <c r="M115" i="1"/>
  <c r="P115" i="1"/>
  <c r="M126" i="1"/>
  <c r="J126" i="1"/>
  <c r="L126" i="1" s="1"/>
  <c r="P126" i="1"/>
  <c r="M165" i="1"/>
  <c r="J165" i="1"/>
  <c r="L165" i="1" s="1"/>
  <c r="P165" i="1"/>
  <c r="J145" i="1"/>
  <c r="L145" i="1" s="1"/>
  <c r="M145" i="1"/>
  <c r="P145" i="1"/>
  <c r="J182" i="1"/>
  <c r="L182" i="1" s="1"/>
  <c r="M182" i="1"/>
  <c r="P182" i="1"/>
  <c r="J193" i="1"/>
  <c r="L193" i="1" s="1"/>
  <c r="M193" i="1"/>
  <c r="P193" i="1"/>
  <c r="J204" i="1"/>
  <c r="L204" i="1" s="1"/>
  <c r="M204" i="1"/>
  <c r="P204" i="1"/>
  <c r="M228" i="1"/>
  <c r="J228" i="1"/>
  <c r="L228" i="1" s="1"/>
  <c r="P228" i="1"/>
  <c r="M245" i="1"/>
  <c r="J245" i="1"/>
  <c r="L245" i="1" s="1"/>
  <c r="P245" i="1"/>
  <c r="J278" i="1"/>
  <c r="L278" i="1" s="1"/>
  <c r="M278" i="1"/>
  <c r="P278" i="1"/>
  <c r="J235" i="1"/>
  <c r="L235" i="1" s="1"/>
  <c r="M235" i="1"/>
  <c r="P235" i="1"/>
  <c r="J286" i="1"/>
  <c r="L286" i="1" s="1"/>
  <c r="M286" i="1"/>
  <c r="P286" i="1"/>
  <c r="J33" i="1"/>
  <c r="L33" i="1" s="1"/>
  <c r="M33" i="1"/>
  <c r="P33" i="1"/>
  <c r="J51" i="1"/>
  <c r="L51" i="1" s="1"/>
  <c r="M51" i="1"/>
  <c r="P51" i="1"/>
  <c r="M75" i="1"/>
  <c r="J75" i="1"/>
  <c r="L75" i="1" s="1"/>
  <c r="P75" i="1"/>
  <c r="J94" i="1"/>
  <c r="L94" i="1" s="1"/>
  <c r="M94" i="1"/>
  <c r="P94" i="1"/>
  <c r="J110" i="1"/>
  <c r="L110" i="1" s="1"/>
  <c r="M110" i="1"/>
  <c r="P110" i="1"/>
  <c r="M131" i="1"/>
  <c r="J131" i="1"/>
  <c r="L131" i="1" s="1"/>
  <c r="P131" i="1"/>
  <c r="J170" i="1"/>
  <c r="L170" i="1" s="1"/>
  <c r="M170" i="1"/>
  <c r="P170" i="1"/>
  <c r="J157" i="1"/>
  <c r="L157" i="1" s="1"/>
  <c r="M157" i="1"/>
  <c r="P157" i="1"/>
  <c r="J198" i="1"/>
  <c r="L198" i="1" s="1"/>
  <c r="M198" i="1"/>
  <c r="P198" i="1"/>
  <c r="J222" i="1"/>
  <c r="L222" i="1" s="1"/>
  <c r="M222" i="1"/>
  <c r="M254" i="1"/>
  <c r="J254" i="1"/>
  <c r="L254" i="1" s="1"/>
  <c r="P254" i="1"/>
  <c r="M256" i="1"/>
  <c r="J256" i="1"/>
  <c r="L256" i="1" s="1"/>
  <c r="P256" i="1"/>
  <c r="J28" i="1"/>
  <c r="L28" i="1" s="1"/>
  <c r="M28" i="1"/>
  <c r="J46" i="1"/>
  <c r="L46" i="1" s="1"/>
  <c r="M46" i="1"/>
  <c r="M64" i="1"/>
  <c r="J64" i="1"/>
  <c r="L64" i="1" s="1"/>
  <c r="M95" i="1"/>
  <c r="J95" i="1"/>
  <c r="L95" i="1" s="1"/>
  <c r="M111" i="1"/>
  <c r="J111" i="1"/>
  <c r="L111" i="1" s="1"/>
  <c r="J127" i="1"/>
  <c r="L127" i="1" s="1"/>
  <c r="M127" i="1"/>
  <c r="M166" i="1"/>
  <c r="J166" i="1"/>
  <c r="L166" i="1" s="1"/>
  <c r="M148" i="1"/>
  <c r="J148" i="1"/>
  <c r="L148" i="1" s="1"/>
  <c r="M184" i="1"/>
  <c r="J184" i="1"/>
  <c r="L184" i="1" s="1"/>
  <c r="M205" i="1"/>
  <c r="J205" i="1"/>
  <c r="L205" i="1" s="1"/>
  <c r="J223" i="1"/>
  <c r="L223" i="1" s="1"/>
  <c r="M223" i="1"/>
  <c r="J238" i="1"/>
  <c r="L238" i="1" s="1"/>
  <c r="M238" i="1"/>
  <c r="J280" i="1"/>
  <c r="L280" i="1" s="1"/>
  <c r="M280" i="1"/>
  <c r="J274" i="1"/>
  <c r="L274" i="1" s="1"/>
  <c r="M274" i="1"/>
  <c r="P111" i="1"/>
  <c r="M22" i="1"/>
  <c r="J22" i="1"/>
  <c r="L22" i="1" s="1"/>
  <c r="J40" i="1"/>
  <c r="L40" i="1" s="1"/>
  <c r="M40" i="1"/>
  <c r="J58" i="1"/>
  <c r="L58" i="1" s="1"/>
  <c r="M58" i="1"/>
  <c r="J76" i="1"/>
  <c r="L76" i="1" s="1"/>
  <c r="M76" i="1"/>
  <c r="J82" i="1"/>
  <c r="L82" i="1" s="1"/>
  <c r="M82" i="1"/>
  <c r="M101" i="1"/>
  <c r="J101" i="1"/>
  <c r="L101" i="1" s="1"/>
  <c r="M117" i="1"/>
  <c r="J117" i="1"/>
  <c r="L117" i="1" s="1"/>
  <c r="M133" i="1"/>
  <c r="J133" i="1"/>
  <c r="L133" i="1" s="1"/>
  <c r="M172" i="1"/>
  <c r="J172" i="1"/>
  <c r="L172" i="1" s="1"/>
  <c r="M154" i="1"/>
  <c r="J154" i="1"/>
  <c r="L154" i="1" s="1"/>
  <c r="M189" i="1"/>
  <c r="J189" i="1"/>
  <c r="L189" i="1" s="1"/>
  <c r="M194" i="1"/>
  <c r="J194" i="1"/>
  <c r="L194" i="1" s="1"/>
  <c r="M211" i="1"/>
  <c r="J211" i="1"/>
  <c r="L211" i="1" s="1"/>
  <c r="J229" i="1"/>
  <c r="L229" i="1" s="1"/>
  <c r="M229" i="1"/>
  <c r="M248" i="1"/>
  <c r="J248" i="1"/>
  <c r="L248" i="1" s="1"/>
  <c r="J295" i="1"/>
  <c r="L295" i="1" s="1"/>
  <c r="M295" i="1"/>
  <c r="M277" i="1"/>
  <c r="J277" i="1"/>
  <c r="L277" i="1" s="1"/>
  <c r="J264" i="1"/>
  <c r="L264" i="1" s="1"/>
  <c r="M264" i="1"/>
  <c r="P205" i="1"/>
  <c r="P184" i="1"/>
  <c r="P223" i="1"/>
  <c r="P280" i="1"/>
  <c r="J23" i="1"/>
  <c r="L23" i="1" s="1"/>
  <c r="M23" i="1"/>
  <c r="M29" i="1"/>
  <c r="J29" i="1"/>
  <c r="L29" i="1" s="1"/>
  <c r="M35" i="1"/>
  <c r="J35" i="1"/>
  <c r="L35" i="1" s="1"/>
  <c r="M41" i="1"/>
  <c r="J41" i="1"/>
  <c r="L41" i="1" s="1"/>
  <c r="M47" i="1"/>
  <c r="J47" i="1"/>
  <c r="L47" i="1" s="1"/>
  <c r="J53" i="1"/>
  <c r="L53" i="1" s="1"/>
  <c r="M53" i="1"/>
  <c r="M59" i="1"/>
  <c r="J59" i="1"/>
  <c r="L59" i="1" s="1"/>
  <c r="J65" i="1"/>
  <c r="L65" i="1" s="1"/>
  <c r="M65" i="1"/>
  <c r="J71" i="1"/>
  <c r="L71" i="1" s="1"/>
  <c r="M71" i="1"/>
  <c r="J77" i="1"/>
  <c r="L77" i="1" s="1"/>
  <c r="M77" i="1"/>
  <c r="M83" i="1"/>
  <c r="J83" i="1"/>
  <c r="L83" i="1" s="1"/>
  <c r="M90" i="1"/>
  <c r="J90" i="1"/>
  <c r="L90" i="1" s="1"/>
  <c r="M97" i="1"/>
  <c r="J97" i="1"/>
  <c r="L97" i="1" s="1"/>
  <c r="M102" i="1"/>
  <c r="J102" i="1"/>
  <c r="L102" i="1" s="1"/>
  <c r="P107" i="1"/>
  <c r="J107" i="1"/>
  <c r="L107" i="1" s="1"/>
  <c r="M107" i="1"/>
  <c r="M113" i="1"/>
  <c r="J113" i="1"/>
  <c r="L113" i="1" s="1"/>
  <c r="M118" i="1"/>
  <c r="J118" i="1"/>
  <c r="L118" i="1" s="1"/>
  <c r="M123" i="1"/>
  <c r="J123" i="1"/>
  <c r="L123" i="1" s="1"/>
  <c r="J129" i="1"/>
  <c r="L129" i="1" s="1"/>
  <c r="M129" i="1"/>
  <c r="M134" i="1"/>
  <c r="J134" i="1"/>
  <c r="L134" i="1" s="1"/>
  <c r="J139" i="1"/>
  <c r="L139" i="1" s="1"/>
  <c r="M139" i="1"/>
  <c r="J168" i="1"/>
  <c r="L168" i="1" s="1"/>
  <c r="M168" i="1"/>
  <c r="J173" i="1"/>
  <c r="L173" i="1" s="1"/>
  <c r="M173" i="1"/>
  <c r="M143" i="1"/>
  <c r="J143" i="1"/>
  <c r="L143" i="1" s="1"/>
  <c r="M149" i="1"/>
  <c r="J149" i="1"/>
  <c r="L149" i="1" s="1"/>
  <c r="J155" i="1"/>
  <c r="L155" i="1" s="1"/>
  <c r="M155" i="1"/>
  <c r="M180" i="1"/>
  <c r="J180" i="1"/>
  <c r="L180" i="1" s="1"/>
  <c r="M185" i="1"/>
  <c r="J185" i="1"/>
  <c r="L185" i="1" s="1"/>
  <c r="M190" i="1"/>
  <c r="J190" i="1"/>
  <c r="L190" i="1" s="1"/>
  <c r="M196" i="1"/>
  <c r="J196" i="1"/>
  <c r="L196" i="1" s="1"/>
  <c r="M201" i="1"/>
  <c r="J201" i="1"/>
  <c r="L201" i="1" s="1"/>
  <c r="M206" i="1"/>
  <c r="J206" i="1"/>
  <c r="L206" i="1" s="1"/>
  <c r="M212" i="1"/>
  <c r="J212" i="1"/>
  <c r="L212" i="1" s="1"/>
  <c r="M218" i="1"/>
  <c r="J218" i="1"/>
  <c r="L218" i="1" s="1"/>
  <c r="J224" i="1"/>
  <c r="L224" i="1" s="1"/>
  <c r="M224" i="1"/>
  <c r="M230" i="1"/>
  <c r="J230" i="1"/>
  <c r="L230" i="1" s="1"/>
  <c r="M241" i="1"/>
  <c r="J241" i="1"/>
  <c r="L241" i="1" s="1"/>
  <c r="J250" i="1"/>
  <c r="L250" i="1" s="1"/>
  <c r="M250" i="1"/>
  <c r="M259" i="1"/>
  <c r="J259" i="1"/>
  <c r="L259" i="1" s="1"/>
  <c r="J282" i="1"/>
  <c r="L282" i="1" s="1"/>
  <c r="M282" i="1"/>
  <c r="M296" i="1"/>
  <c r="J296" i="1"/>
  <c r="L296" i="1" s="1"/>
  <c r="M251" i="1"/>
  <c r="J251" i="1"/>
  <c r="L251" i="1" s="1"/>
  <c r="J281" i="1"/>
  <c r="L281" i="1" s="1"/>
  <c r="M281" i="1"/>
  <c r="M275" i="1"/>
  <c r="J275" i="1"/>
  <c r="L275" i="1" s="1"/>
  <c r="P281" i="1"/>
  <c r="P229" i="1"/>
  <c r="P295" i="1"/>
  <c r="P206" i="1"/>
  <c r="P185" i="1"/>
  <c r="P148" i="1"/>
  <c r="P277" i="1"/>
  <c r="P248" i="1"/>
  <c r="P218" i="1"/>
  <c r="P172" i="1"/>
  <c r="P168" i="1"/>
  <c r="P97" i="1"/>
  <c r="P173" i="1"/>
  <c r="P139" i="1"/>
  <c r="P71" i="1"/>
  <c r="P82" i="1"/>
  <c r="P28" i="1"/>
  <c r="P101" i="1"/>
  <c r="P41" i="1"/>
  <c r="M34" i="1"/>
  <c r="J34" i="1"/>
  <c r="L34" i="1" s="1"/>
  <c r="M52" i="1"/>
  <c r="J52" i="1"/>
  <c r="L52" i="1" s="1"/>
  <c r="M70" i="1"/>
  <c r="J70" i="1"/>
  <c r="L70" i="1" s="1"/>
  <c r="M89" i="1"/>
  <c r="J89" i="1"/>
  <c r="L89" i="1" s="1"/>
  <c r="J106" i="1"/>
  <c r="L106" i="1" s="1"/>
  <c r="M106" i="1"/>
  <c r="M122" i="1"/>
  <c r="J122" i="1"/>
  <c r="L122" i="1" s="1"/>
  <c r="M138" i="1"/>
  <c r="J138" i="1"/>
  <c r="L138" i="1" s="1"/>
  <c r="M142" i="1"/>
  <c r="J142" i="1"/>
  <c r="L142" i="1" s="1"/>
  <c r="J161" i="1"/>
  <c r="L161" i="1" s="1"/>
  <c r="M161" i="1"/>
  <c r="M200" i="1"/>
  <c r="J200" i="1"/>
  <c r="L200" i="1" s="1"/>
  <c r="M217" i="1"/>
  <c r="J217" i="1"/>
  <c r="L217" i="1" s="1"/>
  <c r="J258" i="1"/>
  <c r="L258" i="1" s="1"/>
  <c r="M258" i="1"/>
  <c r="J246" i="1"/>
  <c r="L246" i="1" s="1"/>
  <c r="M246" i="1"/>
  <c r="M24" i="1"/>
  <c r="J24" i="1"/>
  <c r="L24" i="1" s="1"/>
  <c r="M30" i="1"/>
  <c r="J30" i="1"/>
  <c r="L30" i="1" s="1"/>
  <c r="M36" i="1"/>
  <c r="J36" i="1"/>
  <c r="L36" i="1" s="1"/>
  <c r="J42" i="1"/>
  <c r="L42" i="1" s="1"/>
  <c r="M42" i="1"/>
  <c r="J48" i="1"/>
  <c r="L48" i="1" s="1"/>
  <c r="M48" i="1"/>
  <c r="M54" i="1"/>
  <c r="J54" i="1"/>
  <c r="L54" i="1" s="1"/>
  <c r="J60" i="1"/>
  <c r="L60" i="1" s="1"/>
  <c r="M60" i="1"/>
  <c r="M66" i="1"/>
  <c r="J66" i="1"/>
  <c r="L66" i="1" s="1"/>
  <c r="J72" i="1"/>
  <c r="L72" i="1" s="1"/>
  <c r="M72" i="1"/>
  <c r="M78" i="1"/>
  <c r="J78" i="1"/>
  <c r="L78" i="1" s="1"/>
  <c r="M84" i="1"/>
  <c r="J84" i="1"/>
  <c r="L84" i="1" s="1"/>
  <c r="J93" i="1"/>
  <c r="L93" i="1" s="1"/>
  <c r="M93" i="1"/>
  <c r="J98" i="1"/>
  <c r="L98" i="1" s="1"/>
  <c r="M98" i="1"/>
  <c r="J103" i="1"/>
  <c r="L103" i="1" s="1"/>
  <c r="M103" i="1"/>
  <c r="J109" i="1"/>
  <c r="L109" i="1" s="1"/>
  <c r="M109" i="1"/>
  <c r="J114" i="1"/>
  <c r="L114" i="1" s="1"/>
  <c r="M114" i="1"/>
  <c r="M119" i="1"/>
  <c r="J119" i="1"/>
  <c r="L119" i="1" s="1"/>
  <c r="M125" i="1"/>
  <c r="J125" i="1"/>
  <c r="L125" i="1" s="1"/>
  <c r="M130" i="1"/>
  <c r="J130" i="1"/>
  <c r="L130" i="1" s="1"/>
  <c r="M135" i="1"/>
  <c r="J135" i="1"/>
  <c r="L135" i="1" s="1"/>
  <c r="M164" i="1"/>
  <c r="J164" i="1"/>
  <c r="L164" i="1" s="1"/>
  <c r="J169" i="1"/>
  <c r="L169" i="1" s="1"/>
  <c r="M169" i="1"/>
  <c r="M174" i="1"/>
  <c r="J174" i="1"/>
  <c r="L174" i="1" s="1"/>
  <c r="M144" i="1"/>
  <c r="J144" i="1"/>
  <c r="L144" i="1" s="1"/>
  <c r="J150" i="1"/>
  <c r="L150" i="1" s="1"/>
  <c r="M150" i="1"/>
  <c r="J156" i="1"/>
  <c r="L156" i="1" s="1"/>
  <c r="M156" i="1"/>
  <c r="M181" i="1"/>
  <c r="J181" i="1"/>
  <c r="L181" i="1" s="1"/>
  <c r="M186" i="1"/>
  <c r="J186" i="1"/>
  <c r="L186" i="1" s="1"/>
  <c r="M192" i="1"/>
  <c r="J192" i="1"/>
  <c r="L192" i="1" s="1"/>
  <c r="M197" i="1"/>
  <c r="J197" i="1"/>
  <c r="L197" i="1" s="1"/>
  <c r="M202" i="1"/>
  <c r="J202" i="1"/>
  <c r="L202" i="1" s="1"/>
  <c r="M209" i="1"/>
  <c r="J209" i="1"/>
  <c r="L209" i="1" s="1"/>
  <c r="P209" i="1"/>
  <c r="M215" i="1"/>
  <c r="J215" i="1"/>
  <c r="L215" i="1" s="1"/>
  <c r="J221" i="1"/>
  <c r="L221" i="1" s="1"/>
  <c r="M221" i="1"/>
  <c r="J227" i="1"/>
  <c r="L227" i="1" s="1"/>
  <c r="M227" i="1"/>
  <c r="M234" i="1"/>
  <c r="J234" i="1"/>
  <c r="L234" i="1" s="1"/>
  <c r="J242" i="1"/>
  <c r="L242" i="1" s="1"/>
  <c r="M242" i="1"/>
  <c r="J252" i="1"/>
  <c r="L252" i="1" s="1"/>
  <c r="M252" i="1"/>
  <c r="J276" i="1"/>
  <c r="L276" i="1" s="1"/>
  <c r="M276" i="1"/>
  <c r="J289" i="1"/>
  <c r="L289" i="1" s="1"/>
  <c r="M289" i="1"/>
  <c r="M299" i="1"/>
  <c r="J299" i="1"/>
  <c r="L299" i="1" s="1"/>
  <c r="J255" i="1"/>
  <c r="L255" i="1" s="1"/>
  <c r="M255" i="1"/>
  <c r="J272" i="1"/>
  <c r="L272" i="1" s="1"/>
  <c r="M272" i="1"/>
  <c r="J285" i="1"/>
  <c r="L285" i="1" s="1"/>
  <c r="M285" i="1"/>
  <c r="P299" i="1"/>
  <c r="P250" i="1"/>
  <c r="P224" i="1"/>
  <c r="P276" i="1"/>
  <c r="P246" i="1"/>
  <c r="P201" i="1"/>
  <c r="P143" i="1"/>
  <c r="P241" i="1"/>
  <c r="P217" i="1"/>
  <c r="P192" i="1"/>
  <c r="P169" i="1"/>
  <c r="P154" i="1"/>
  <c r="P164" i="1"/>
  <c r="P142" i="1"/>
  <c r="P90" i="1"/>
  <c r="P70" i="1"/>
  <c r="P194" i="1"/>
  <c r="P161" i="1"/>
  <c r="P134" i="1"/>
  <c r="P106" i="1"/>
  <c r="P65" i="1"/>
  <c r="P46" i="1"/>
  <c r="P36" i="1"/>
  <c r="P22" i="1"/>
  <c r="P77" i="1"/>
  <c r="P58" i="1"/>
  <c r="P42" i="1"/>
  <c r="P119" i="1"/>
  <c r="P95" i="1"/>
  <c r="P118" i="1"/>
  <c r="P29" i="1"/>
  <c r="E267" i="1"/>
  <c r="G267" i="1" s="1"/>
  <c r="E213" i="1"/>
  <c r="G213" i="1" s="1"/>
  <c r="E225" i="1"/>
  <c r="G225" i="1" s="1"/>
  <c r="E231" i="1"/>
  <c r="G231" i="1" s="1"/>
  <c r="E152" i="1"/>
  <c r="G152" i="1" s="1"/>
  <c r="E219" i="1"/>
  <c r="G219" i="1" s="1"/>
  <c r="E158" i="1"/>
  <c r="G158" i="1" s="1"/>
  <c r="E61" i="1"/>
  <c r="G61" i="1" s="1"/>
  <c r="E43" i="1"/>
  <c r="G43" i="1" s="1"/>
  <c r="E31" i="1"/>
  <c r="G31" i="1" s="1"/>
  <c r="E146" i="1"/>
  <c r="G146" i="1" s="1"/>
  <c r="E55" i="1"/>
  <c r="G55" i="1" s="1"/>
  <c r="E67" i="1"/>
  <c r="G67" i="1" s="1"/>
  <c r="E25" i="1"/>
  <c r="G25" i="1" s="1"/>
  <c r="E49" i="1"/>
  <c r="G49" i="1" s="1"/>
  <c r="E73" i="1"/>
  <c r="G73" i="1" s="1"/>
  <c r="E85" i="1"/>
  <c r="G85" i="1" s="1"/>
  <c r="E37" i="1"/>
  <c r="G37" i="1" s="1"/>
  <c r="E79" i="1"/>
  <c r="G79" i="1" s="1"/>
  <c r="O21" i="1"/>
  <c r="A301" i="1"/>
  <c r="G16" i="1"/>
  <c r="G15" i="1"/>
  <c r="G14" i="1"/>
  <c r="G13" i="1"/>
  <c r="G12" i="1"/>
  <c r="G11" i="1"/>
  <c r="G10" i="1"/>
  <c r="A10" i="1" s="1"/>
  <c r="M267" i="1" l="1"/>
  <c r="J267" i="1"/>
  <c r="L267" i="1" s="1"/>
  <c r="P267" i="1"/>
  <c r="J37" i="1"/>
  <c r="L37" i="1" s="1"/>
  <c r="M37" i="1"/>
  <c r="P37" i="1"/>
  <c r="J25" i="1"/>
  <c r="L25" i="1" s="1"/>
  <c r="M25" i="1"/>
  <c r="P25" i="1"/>
  <c r="M31" i="1"/>
  <c r="J31" i="1"/>
  <c r="L31" i="1" s="1"/>
  <c r="P31" i="1"/>
  <c r="J219" i="1"/>
  <c r="L219" i="1" s="1"/>
  <c r="M219" i="1"/>
  <c r="P219" i="1"/>
  <c r="J213" i="1"/>
  <c r="L213" i="1" s="1"/>
  <c r="M213" i="1"/>
  <c r="P213" i="1"/>
  <c r="J85" i="1"/>
  <c r="L85" i="1" s="1"/>
  <c r="M85" i="1"/>
  <c r="P85" i="1"/>
  <c r="J67" i="1"/>
  <c r="L67" i="1" s="1"/>
  <c r="M67" i="1"/>
  <c r="P67" i="1"/>
  <c r="J43" i="1"/>
  <c r="L43" i="1" s="1"/>
  <c r="M43" i="1"/>
  <c r="P43" i="1"/>
  <c r="M152" i="1"/>
  <c r="J152" i="1"/>
  <c r="L152" i="1" s="1"/>
  <c r="P152" i="1"/>
  <c r="M73" i="1"/>
  <c r="J73" i="1"/>
  <c r="L73" i="1" s="1"/>
  <c r="P73" i="1"/>
  <c r="J55" i="1"/>
  <c r="L55" i="1" s="1"/>
  <c r="M55" i="1"/>
  <c r="P55" i="1"/>
  <c r="M61" i="1"/>
  <c r="J61" i="1"/>
  <c r="L61" i="1" s="1"/>
  <c r="P61" i="1"/>
  <c r="J231" i="1"/>
  <c r="L231" i="1" s="1"/>
  <c r="M231" i="1"/>
  <c r="P231" i="1"/>
  <c r="M79" i="1"/>
  <c r="J79" i="1"/>
  <c r="L79" i="1" s="1"/>
  <c r="P79" i="1"/>
  <c r="M49" i="1"/>
  <c r="J49" i="1"/>
  <c r="L49" i="1" s="1"/>
  <c r="P49" i="1"/>
  <c r="M146" i="1"/>
  <c r="J146" i="1"/>
  <c r="L146" i="1" s="1"/>
  <c r="P146" i="1"/>
  <c r="M158" i="1"/>
  <c r="J158" i="1"/>
  <c r="L158" i="1" s="1"/>
  <c r="P158" i="1"/>
  <c r="M225" i="1"/>
  <c r="J225" i="1"/>
  <c r="L225" i="1" s="1"/>
  <c r="P225" i="1"/>
  <c r="Q269" i="1"/>
  <c r="J21" i="1"/>
  <c r="L21" i="1" s="1"/>
  <c r="M21" i="1"/>
  <c r="P21" i="1"/>
  <c r="A11" i="1"/>
  <c r="Q301" i="1"/>
  <c r="Q261" i="1" l="1"/>
  <c r="A12" i="1"/>
  <c r="Q18" i="1"/>
  <c r="Q303" i="1" l="1"/>
  <c r="A13" i="1"/>
  <c r="A14" i="1" l="1"/>
  <c r="Q307" i="1"/>
  <c r="A15" i="1" l="1"/>
  <c r="A16" i="1" s="1"/>
  <c r="A21" i="1" s="1"/>
  <c r="Q306" i="1"/>
  <c r="Q304" i="1"/>
  <c r="Q305" i="1"/>
  <c r="A22" i="1" l="1"/>
  <c r="A23" i="1" s="1"/>
  <c r="A24" i="1" s="1"/>
  <c r="Q308" i="1"/>
  <c r="A25" i="1" l="1"/>
  <c r="A27" i="1" l="1"/>
  <c r="A28" i="1" s="1"/>
  <c r="A29" i="1" s="1"/>
  <c r="A30" i="1" l="1"/>
  <c r="A31" i="1" s="1"/>
  <c r="A33" i="1" s="1"/>
  <c r="A34" i="1" l="1"/>
  <c r="A35" i="1" s="1"/>
  <c r="A36" i="1" l="1"/>
  <c r="A37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3" i="1" s="1"/>
  <c r="A64" i="1" s="1"/>
  <c r="A65" i="1" s="1"/>
  <c r="A66" i="1" s="1"/>
  <c r="A67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8" i="1" s="1"/>
  <c r="A89" i="1" s="1"/>
  <c r="A90" i="1" s="1"/>
  <c r="A93" i="1" s="1"/>
  <c r="A94" i="1" s="1"/>
  <c r="A95" i="1" s="1"/>
  <c r="A97" i="1" s="1"/>
  <c r="A98" i="1" s="1"/>
  <c r="A99" i="1" s="1"/>
  <c r="A101" i="1" s="1"/>
  <c r="A102" i="1" s="1"/>
  <c r="A103" i="1" s="1"/>
  <c r="A105" i="1" s="1"/>
  <c r="A106" i="1" s="1"/>
  <c r="A107" i="1" s="1"/>
  <c r="A109" i="1" s="1"/>
  <c r="A110" i="1" s="1"/>
  <c r="A111" i="1" s="1"/>
  <c r="A113" i="1" s="1"/>
  <c r="A114" i="1" s="1"/>
  <c r="A115" i="1" s="1"/>
  <c r="A117" i="1" s="1"/>
  <c r="A118" i="1" s="1"/>
  <c r="A119" i="1" s="1"/>
  <c r="A121" i="1" s="1"/>
  <c r="A122" i="1" s="1"/>
  <c r="A123" i="1" s="1"/>
  <c r="A125" i="1" s="1"/>
  <c r="A126" i="1" s="1"/>
  <c r="A127" i="1" s="1"/>
  <c r="A129" i="1" s="1"/>
  <c r="A130" i="1" s="1"/>
  <c r="A131" i="1" s="1"/>
  <c r="A133" i="1" s="1"/>
  <c r="A134" i="1" s="1"/>
  <c r="A135" i="1" s="1"/>
  <c r="A137" i="1" s="1"/>
  <c r="A138" i="1" s="1"/>
  <c r="A139" i="1" s="1"/>
  <c r="A142" i="1" s="1"/>
  <c r="A143" i="1" s="1"/>
  <c r="A144" i="1" s="1"/>
  <c r="A145" i="1" s="1"/>
  <c r="A146" i="1" s="1"/>
  <c r="A148" i="1" s="1"/>
  <c r="A149" i="1" s="1"/>
  <c r="A150" i="1" s="1"/>
  <c r="A151" i="1" s="1"/>
  <c r="A152" i="1" s="1"/>
  <c r="A154" i="1" s="1"/>
  <c r="A155" i="1" s="1"/>
  <c r="A156" i="1" s="1"/>
  <c r="A157" i="1" s="1"/>
  <c r="A158" i="1" s="1"/>
  <c r="A161" i="1" s="1"/>
  <c r="A164" i="1" s="1"/>
  <c r="A165" i="1" s="1"/>
  <c r="A166" i="1" s="1"/>
  <c r="A168" i="1" s="1"/>
  <c r="A169" i="1" s="1"/>
  <c r="A170" i="1" s="1"/>
  <c r="A172" i="1" s="1"/>
  <c r="A173" i="1" s="1"/>
  <c r="A174" i="1" s="1"/>
  <c r="A177" i="1" s="1"/>
  <c r="A180" i="1" s="1"/>
  <c r="A181" i="1" s="1"/>
  <c r="A182" i="1" s="1"/>
  <c r="A184" i="1" s="1"/>
  <c r="A185" i="1" s="1"/>
  <c r="A186" i="1" s="1"/>
  <c r="A188" i="1" s="1"/>
  <c r="A189" i="1" s="1"/>
  <c r="A190" i="1" s="1"/>
  <c r="A192" i="1" s="1"/>
  <c r="A193" i="1" s="1"/>
  <c r="A194" i="1" s="1"/>
  <c r="A196" i="1" s="1"/>
  <c r="A197" i="1" s="1"/>
  <c r="A198" i="1" s="1"/>
  <c r="A200" i="1" s="1"/>
  <c r="A201" i="1" s="1"/>
  <c r="A202" i="1" s="1"/>
  <c r="A204" i="1" s="1"/>
  <c r="A205" i="1" s="1"/>
  <c r="A206" i="1" s="1"/>
  <c r="A209" i="1" s="1"/>
  <c r="A210" i="1" s="1"/>
  <c r="A211" i="1" s="1"/>
  <c r="A212" i="1" s="1"/>
  <c r="A213" i="1" s="1"/>
  <c r="A215" i="1" s="1"/>
  <c r="A216" i="1" s="1"/>
  <c r="A217" i="1" s="1"/>
  <c r="A218" i="1" s="1"/>
  <c r="A219" i="1" s="1"/>
  <c r="A221" i="1" s="1"/>
  <c r="A222" i="1" s="1"/>
  <c r="A223" i="1" s="1"/>
  <c r="A224" i="1" s="1"/>
  <c r="A225" i="1" s="1"/>
  <c r="A227" i="1" s="1"/>
  <c r="A228" i="1" s="1"/>
  <c r="A229" i="1" s="1"/>
  <c r="A230" i="1" s="1"/>
  <c r="A231" i="1" s="1"/>
  <c r="A234" i="1" s="1"/>
  <c r="A235" i="1" s="1"/>
  <c r="A236" i="1" s="1"/>
  <c r="A238" i="1" s="1"/>
  <c r="A241" i="1" s="1"/>
  <c r="A242" i="1" s="1"/>
  <c r="A245" i="1" s="1"/>
  <c r="A246" i="1" s="1"/>
  <c r="A248" i="1" s="1"/>
  <c r="A250" i="1" s="1"/>
  <c r="A251" i="1" s="1"/>
  <c r="A252" i="1" s="1"/>
  <c r="A254" i="1" s="1"/>
  <c r="A255" i="1" s="1"/>
  <c r="A256" i="1" s="1"/>
  <c r="A258" i="1" s="1"/>
  <c r="A259" i="1" s="1"/>
  <c r="A264" i="1" l="1"/>
  <c r="A267" i="1" s="1"/>
  <c r="A272" i="1" l="1"/>
  <c r="A273" i="1" s="1"/>
  <c r="A274" i="1" s="1"/>
  <c r="A275" i="1" s="1"/>
  <c r="A276" i="1" s="1"/>
  <c r="A277" i="1" s="1"/>
  <c r="A278" i="1" s="1"/>
  <c r="A280" i="1" s="1"/>
  <c r="A281" i="1" s="1"/>
  <c r="A282" i="1" s="1"/>
  <c r="A285" i="1" s="1"/>
  <c r="A286" i="1" s="1"/>
  <c r="A289" i="1" s="1"/>
  <c r="A292" i="1" s="1"/>
  <c r="A295" i="1" s="1"/>
  <c r="A296" i="1" s="1"/>
  <c r="A299" i="1" s="1"/>
</calcChain>
</file>

<file path=xl/sharedStrings.xml><?xml version="1.0" encoding="utf-8"?>
<sst xmlns="http://schemas.openxmlformats.org/spreadsheetml/2006/main" count="475" uniqueCount="193">
  <si>
    <t>S#</t>
  </si>
  <si>
    <t>Dwg.</t>
  </si>
  <si>
    <t>CSI NO</t>
  </si>
  <si>
    <t>DESCRIPTION</t>
  </si>
  <si>
    <t>QTY.</t>
  </si>
  <si>
    <t>Wastage</t>
  </si>
  <si>
    <t>Qty w/ Waste</t>
  </si>
  <si>
    <t>UNIT</t>
  </si>
  <si>
    <t>UNIT LABOR HOUR</t>
  </si>
  <si>
    <t>TOTAL LABOR HOUR</t>
  </si>
  <si>
    <t>LABOR WAGE/ HOUR</t>
  </si>
  <si>
    <t>TOTAL LABOR COST</t>
  </si>
  <si>
    <t>TOTAL MATERIAL COST</t>
  </si>
  <si>
    <t>UNIT MATERIAL  COST</t>
  </si>
  <si>
    <t>UNIT LABOR COST</t>
  </si>
  <si>
    <t>TRADE TOTAL</t>
  </si>
  <si>
    <t>DIVISION 01-GENERAL REQUIREMENTS</t>
  </si>
  <si>
    <t>Mobilization</t>
  </si>
  <si>
    <t>LS</t>
  </si>
  <si>
    <t>Supervision</t>
  </si>
  <si>
    <t>Office overheads</t>
  </si>
  <si>
    <t>Temporary facilities and controls</t>
  </si>
  <si>
    <t>Project Closeouts</t>
  </si>
  <si>
    <t>Submittal and approval</t>
  </si>
  <si>
    <t>Mobile Scaffolding</t>
  </si>
  <si>
    <t>Subtotal</t>
  </si>
  <si>
    <t xml:space="preserve">
</t>
  </si>
  <si>
    <t>DIVISION 03- CONCRETE</t>
  </si>
  <si>
    <t>CONTINUOUS FOOTING</t>
  </si>
  <si>
    <t>LF</t>
  </si>
  <si>
    <t>CY</t>
  </si>
  <si>
    <t>Formwork</t>
  </si>
  <si>
    <t>SF</t>
  </si>
  <si>
    <t>EA</t>
  </si>
  <si>
    <t>SLAB</t>
  </si>
  <si>
    <t>LBS</t>
  </si>
  <si>
    <t>TOTAL AMOUNT</t>
  </si>
  <si>
    <t>CONTIGENCIES (5%)</t>
  </si>
  <si>
    <t>OVERHEAD AND PROFIT (10%)</t>
  </si>
  <si>
    <t>TAX (8.5%)</t>
  </si>
  <si>
    <t>PERFORMANCE AND PAYMENT BONDS</t>
  </si>
  <si>
    <t>TOTAL BASEBID</t>
  </si>
  <si>
    <t>PAD FOOTING</t>
  </si>
  <si>
    <t xml:space="preserve">Reinforcement:
- (6) #5 Rebars E.W.  Top &amp; Bottom (480 LF) </t>
  </si>
  <si>
    <t>Excavation</t>
  </si>
  <si>
    <t>Backfill</t>
  </si>
  <si>
    <t xml:space="preserve">Reinforcement:
- (7) #5 Rebars E.W.  Top &amp; Bottom (3696 LF) </t>
  </si>
  <si>
    <t xml:space="preserve">Reinforcement:
- (9) #6 Rebars E.W.  Top &amp; Bottom (10332 LF) </t>
  </si>
  <si>
    <t xml:space="preserve">Reinforcement:
- (9) #7 Rebars E.W.  Top &amp; Bottom (8640 LF) </t>
  </si>
  <si>
    <t xml:space="preserve">Reinforcement:
- (10) #7 Rebars E.W.  Top &amp; Bottom (8640 LF) </t>
  </si>
  <si>
    <t xml:space="preserve">Reinforcement:
- (11) #7 Rebars E.W.  Top &amp; Bottom (7480 LF) </t>
  </si>
  <si>
    <t xml:space="preserve">Reinforcement:
- (12) #7 Rebars E.W.  Top &amp; Bottom (7920 LF) </t>
  </si>
  <si>
    <t xml:space="preserve">Reinforcement:
- (13) #7 Rebars E.W.  Top &amp; Bottom (1248 LF) </t>
  </si>
  <si>
    <t xml:space="preserve">Reinforcement:
- (15) #8 Rebars E.W.  Top &amp; Bottom (1680 LF) </t>
  </si>
  <si>
    <t xml:space="preserve">Reinforcement:
- (16) #8 Rebars E.W.  Top &amp; Bottom (960 LF) </t>
  </si>
  <si>
    <t xml:space="preserve">Reinforcement:
- (17) #8 Rebars E.W.  Top &amp; Bottom (1088 LF) </t>
  </si>
  <si>
    <r>
      <t xml:space="preserve">F5.0: 5'-0" X 5'-0" X 1'-6" Thick, Pad Footing </t>
    </r>
    <r>
      <rPr>
        <b/>
        <sz val="11"/>
        <color theme="1"/>
        <rFont val="Calibri"/>
        <family val="2"/>
      </rPr>
      <t>(4 EA)</t>
    </r>
  </si>
  <si>
    <r>
      <t xml:space="preserve">F6.0: 6'-0" X 6'-0" X 1'-6" Thick, Pad Footing </t>
    </r>
    <r>
      <rPr>
        <b/>
        <sz val="11"/>
        <color theme="1"/>
        <rFont val="Calibri"/>
        <family val="2"/>
      </rPr>
      <t>(22 EA)</t>
    </r>
  </si>
  <si>
    <r>
      <t xml:space="preserve">F7.0: 7'-0" X 7'-0" X 1'-6" Thick, Pad Footing </t>
    </r>
    <r>
      <rPr>
        <b/>
        <sz val="11"/>
        <color theme="1"/>
        <rFont val="Calibri"/>
        <family val="2"/>
      </rPr>
      <t xml:space="preserve">(41 EA) </t>
    </r>
  </si>
  <si>
    <r>
      <t xml:space="preserve">F8.0: 8'-0" X 8'-0" X 1'-6" Thick, Pad Footing </t>
    </r>
    <r>
      <rPr>
        <b/>
        <sz val="11"/>
        <color theme="1"/>
        <rFont val="Calibri"/>
        <family val="2"/>
      </rPr>
      <t>(30 EA)</t>
    </r>
  </si>
  <si>
    <r>
      <t xml:space="preserve">F9.0: 9'-0" X 9'-0" X 1'-6" Thick, Pad Footing </t>
    </r>
    <r>
      <rPr>
        <b/>
        <sz val="11"/>
        <color theme="1"/>
        <rFont val="Calibri"/>
        <family val="2"/>
      </rPr>
      <t>(24 EA)</t>
    </r>
  </si>
  <si>
    <r>
      <t xml:space="preserve">F10.0: 10'-0" X 10'-0" X 1'-6" Thick, Pad Footing </t>
    </r>
    <r>
      <rPr>
        <b/>
        <sz val="11"/>
        <color theme="1"/>
        <rFont val="Calibri"/>
        <family val="2"/>
      </rPr>
      <t>(17 EA)</t>
    </r>
  </si>
  <si>
    <r>
      <t xml:space="preserve">F11.0: 11'-0" X 11'-0" X 2'-0" Thick, Pad Footing </t>
    </r>
    <r>
      <rPr>
        <b/>
        <sz val="11"/>
        <color theme="1"/>
        <rFont val="Calibri"/>
        <family val="2"/>
      </rPr>
      <t>(15 EA)</t>
    </r>
  </si>
  <si>
    <r>
      <t xml:space="preserve">F12.0: 12'-0" X 12'-0" X 2'-0" Thick, Pad Footing </t>
    </r>
    <r>
      <rPr>
        <b/>
        <sz val="11"/>
        <color theme="1"/>
        <rFont val="Calibri"/>
        <family val="2"/>
      </rPr>
      <t xml:space="preserve">(2 EA) </t>
    </r>
  </si>
  <si>
    <r>
      <t xml:space="preserve">F14.0: 14'-0" X 14'-0" X 2'-6" Thick, Pad Footing </t>
    </r>
    <r>
      <rPr>
        <b/>
        <sz val="11"/>
        <color theme="1"/>
        <rFont val="Calibri"/>
        <family val="2"/>
      </rPr>
      <t>(2 EA)</t>
    </r>
  </si>
  <si>
    <r>
      <t xml:space="preserve">F15.0: 15'-0" X 15'-0" X  2'-6" Thick, Pad Footing </t>
    </r>
    <r>
      <rPr>
        <b/>
        <sz val="11"/>
        <color theme="1"/>
        <rFont val="Calibri"/>
        <family val="2"/>
      </rPr>
      <t>(1 EA)</t>
    </r>
  </si>
  <si>
    <r>
      <t xml:space="preserve">F16.0: 16'-0" X 16'-0" X  2'-6" Thick, Pad Footing </t>
    </r>
    <r>
      <rPr>
        <b/>
        <sz val="11"/>
        <color theme="1"/>
        <rFont val="Calibri"/>
        <family val="2"/>
      </rPr>
      <t>(1 EA)</t>
    </r>
  </si>
  <si>
    <t>CONCRETE PIER</t>
  </si>
  <si>
    <t>Reinforcement:
- #5 Vertical Rebar (1188 LF)
- #4 Ties Rebar @ 12" O.C. (1645 LF)</t>
  </si>
  <si>
    <t>Reinforcement:
- #5 Vertical Rebar (117 LF)
- #4 Ties Rebar @ 12" O.C. (124 LF)</t>
  </si>
  <si>
    <t>Reinforcement:
- #5 Vertical Rebar (140 LF)
- #4 Ties Rebar @ 12" O.C. (158 LF)</t>
  </si>
  <si>
    <t>Reinforcement:
- #5 Vertical Rebar (50 LF)
- #4 Ties Rebar @ 12" O.C. (80 LF)</t>
  </si>
  <si>
    <t>Reinforcement:
- #5 Vertical Rebar (281 LF)
- #4 Ties Rebar @ 12" O.C. (450 LF)</t>
  </si>
  <si>
    <t>Reinforcement:
- #5 Vertical Rebar (75 LF)
- #4 Ties Rebar @ 12" O.C. (120 LF)</t>
  </si>
  <si>
    <t>Reinforcement:
- #5 Vertical Rebar (113 LF)
- #4 Ties Rebar @ 12" O.C. (190 LF)</t>
  </si>
  <si>
    <t>Reinforcement:
- #5 Vertical Rebar (300 LF)
- #4 Ties Rebar @ 12" O.C. (500 LF)</t>
  </si>
  <si>
    <t>Reinforcement:
- #5 Vertical Rebar (416 LF)
- #4 Ties Rebar @ 12" O.C. (697 LF)</t>
  </si>
  <si>
    <t>Reinforcement:
- #5 Vertical Rebar (138 LF)
- #4 Ties Rebar @ 12" O.C. (227 LF)</t>
  </si>
  <si>
    <t>Reinforcement:
- #5 Vertical Rebar (69 LF)
- #4 Ties Rebar @ 12" O.C. (115 LF)</t>
  </si>
  <si>
    <t>Reinforcement:
- #5 Vertical Rebar (41 LF)
- #4 Ties Rebar @ 12" O.C. (68 LF)</t>
  </si>
  <si>
    <t>Reinforcement:
- #5 Vertical Rebar (47 LF)
- #4 Ties Rebar @ 12" O.C. (77 LF)</t>
  </si>
  <si>
    <r>
      <t xml:space="preserve">2'-6" x 2'-6", Concrete Pier (3'-4" High) </t>
    </r>
    <r>
      <rPr>
        <b/>
        <sz val="11"/>
        <color theme="1"/>
        <rFont val="Calibri"/>
        <family val="2"/>
      </rPr>
      <t>(38 EA)</t>
    </r>
  </si>
  <si>
    <r>
      <t xml:space="preserve">4'-8" x 2'-6", Concrete Pier (3'-4" High) </t>
    </r>
    <r>
      <rPr>
        <b/>
        <sz val="11"/>
        <color theme="1"/>
        <rFont val="Calibri"/>
        <family val="2"/>
      </rPr>
      <t>(2 EA)</t>
    </r>
  </si>
  <si>
    <r>
      <t xml:space="preserve">4'-8" x 2'-6", Concrete Pier (2'-8" High) </t>
    </r>
    <r>
      <rPr>
        <b/>
        <sz val="11"/>
        <color theme="1"/>
        <rFont val="Calibri"/>
        <family val="2"/>
      </rPr>
      <t>(3 EA)</t>
    </r>
  </si>
  <si>
    <r>
      <t xml:space="preserve">2'-6" x 2'-6", Concrete Pier (3'-0" High) </t>
    </r>
    <r>
      <rPr>
        <b/>
        <sz val="11"/>
        <color theme="1"/>
        <rFont val="Calibri"/>
        <family val="2"/>
      </rPr>
      <t>(2 EA)</t>
    </r>
  </si>
  <si>
    <r>
      <t xml:space="preserve">2'-6" x 2'-6", Concrete Pier (4'-0" High) </t>
    </r>
    <r>
      <rPr>
        <b/>
        <sz val="11"/>
        <color theme="1"/>
        <rFont val="Calibri"/>
        <family val="2"/>
      </rPr>
      <t>(9 EA)</t>
    </r>
  </si>
  <si>
    <r>
      <t xml:space="preserve">2'-6" x 2'-6", Concrete Pier (5'-0" High) </t>
    </r>
    <r>
      <rPr>
        <b/>
        <sz val="11"/>
        <color theme="1"/>
        <rFont val="Calibri"/>
        <family val="2"/>
      </rPr>
      <t>(2 EA)</t>
    </r>
  </si>
  <si>
    <r>
      <t xml:space="preserve">2'-6" x 2'-6", Concrete Pier (5'-4" High) </t>
    </r>
    <r>
      <rPr>
        <b/>
        <sz val="11"/>
        <color theme="1"/>
        <rFont val="Calibri"/>
        <family val="2"/>
      </rPr>
      <t>(3 EA)</t>
    </r>
  </si>
  <si>
    <r>
      <t xml:space="preserve">2'-6" x 2'-6", Concrete Pier (7'-4" High) </t>
    </r>
    <r>
      <rPr>
        <b/>
        <sz val="11"/>
        <color theme="1"/>
        <rFont val="Calibri"/>
        <family val="2"/>
      </rPr>
      <t>(6 EA)</t>
    </r>
  </si>
  <si>
    <r>
      <t xml:space="preserve">2'-6" x 2'-6", Concrete Pier (2'-8" High) </t>
    </r>
    <r>
      <rPr>
        <b/>
        <sz val="11"/>
        <color theme="1"/>
        <rFont val="Calibri"/>
        <family val="2"/>
      </rPr>
      <t>(19 EA)</t>
    </r>
  </si>
  <si>
    <r>
      <t xml:space="preserve">2'-6" x 2'-6", Concrete Pier (4'-8" High) </t>
    </r>
    <r>
      <rPr>
        <b/>
        <sz val="11"/>
        <color theme="1"/>
        <rFont val="Calibri"/>
        <family val="2"/>
      </rPr>
      <t>(4 EA)</t>
    </r>
  </si>
  <si>
    <r>
      <t xml:space="preserve">2'-6" x 2'-6", Concrete Pier (4'-9" High) </t>
    </r>
    <r>
      <rPr>
        <b/>
        <sz val="11"/>
        <color theme="1"/>
        <rFont val="Calibri"/>
        <family val="2"/>
      </rPr>
      <t>(2 EA)</t>
    </r>
  </si>
  <si>
    <r>
      <t xml:space="preserve">2'-6" x 2'-6", Concrete Pier (5'-8" High) </t>
    </r>
    <r>
      <rPr>
        <b/>
        <sz val="11"/>
        <color theme="1"/>
        <rFont val="Calibri"/>
        <family val="2"/>
      </rPr>
      <t>(1 EA)</t>
    </r>
  </si>
  <si>
    <r>
      <t xml:space="preserve">2'-6" x 2'-6", Concrete Pier (6'-8" High) </t>
    </r>
    <r>
      <rPr>
        <b/>
        <sz val="11"/>
        <color theme="1"/>
        <rFont val="Calibri"/>
        <family val="2"/>
      </rPr>
      <t>(1 EA)</t>
    </r>
  </si>
  <si>
    <t>COLUMN</t>
  </si>
  <si>
    <t>Reinforcement:
- (6) #7 Vertical Rebar (864 LF)
- #4 Ties @ 12" O.C. (1350 LF)</t>
  </si>
  <si>
    <t>Reinforcement:
- (6) #7 Vertical Rebar (66 LF)
- #4 Ties @ 12" O.C. (108 LF)</t>
  </si>
  <si>
    <r>
      <t xml:space="preserve">24" x 30", Concrete Column (24'-0" High) </t>
    </r>
    <r>
      <rPr>
        <b/>
        <sz val="11"/>
        <color theme="1"/>
        <rFont val="Calibri"/>
        <family val="2"/>
      </rPr>
      <t xml:space="preserve">(6 EA) </t>
    </r>
  </si>
  <si>
    <r>
      <t xml:space="preserve">24" x 30", Concrete Column (11'-0" High) </t>
    </r>
    <r>
      <rPr>
        <b/>
        <sz val="11"/>
        <color theme="1"/>
        <rFont val="Calibri"/>
        <family val="2"/>
      </rPr>
      <t xml:space="preserve">(1 EA) </t>
    </r>
  </si>
  <si>
    <r>
      <t xml:space="preserve">22" x 22", Concrete Column (13'-0" High) </t>
    </r>
    <r>
      <rPr>
        <b/>
        <sz val="11"/>
        <color theme="1"/>
        <rFont val="Calibri"/>
        <family val="2"/>
      </rPr>
      <t>(2 EA)</t>
    </r>
  </si>
  <si>
    <r>
      <t xml:space="preserve">Reinforcement:
- (6) #7 Vertical Rebar (156 LF)
- #4 Ties @ 12" O.C. (205 LF)
Note: </t>
    </r>
    <r>
      <rPr>
        <sz val="11"/>
        <color rgb="FFFF0000"/>
        <rFont val="Calibri"/>
        <family val="2"/>
      </rPr>
      <t>Reinforcement Type Is Assumed For This Column. No Details Are Provided.</t>
    </r>
  </si>
  <si>
    <t>CIRCULAR FOOTING</t>
  </si>
  <si>
    <r>
      <t xml:space="preserve">12" Dia. Circular Pressure Injected Footings (23'-8" High) </t>
    </r>
    <r>
      <rPr>
        <b/>
        <sz val="11"/>
        <color theme="1"/>
        <rFont val="Calibri"/>
        <family val="2"/>
      </rPr>
      <t xml:space="preserve">(25 EA) </t>
    </r>
  </si>
  <si>
    <t>Reinforcement:
- (4) #5 Rebar Cont. (2465 LF)
- #4 Trans. Rebar @ 12" O.C. (1543 LF)</t>
  </si>
  <si>
    <t>Reinforcement:
- (4) #5 Rebar Cont. (2352 LF)
- #4 Trans. Rebar @ 12" O.C. (1767 LF)</t>
  </si>
  <si>
    <t xml:space="preserve"> </t>
  </si>
  <si>
    <t>Reinforcement:
- (4) #5 Rebar Cont. (1572 LF)
- #4 Trans. Rebar @ 12" O.C. (1576 LF)</t>
  </si>
  <si>
    <r>
      <t xml:space="preserve">W2.5: 2'-6"Wide x 1'-0"High, Cont. Footing </t>
    </r>
    <r>
      <rPr>
        <b/>
        <sz val="11"/>
        <color theme="1"/>
        <rFont val="Calibri"/>
        <family val="2"/>
      </rPr>
      <t>(616 LF)</t>
    </r>
  </si>
  <si>
    <r>
      <t xml:space="preserve">W3.0: 3'-0"Wide x 1'-0"High, Cont. Footing </t>
    </r>
    <r>
      <rPr>
        <b/>
        <sz val="11"/>
        <color theme="1"/>
        <rFont val="Calibri"/>
        <family val="2"/>
      </rPr>
      <t>(588 LF)</t>
    </r>
  </si>
  <si>
    <r>
      <t xml:space="preserve">W4.0: 4'-0"Wide x 1'-0"High, Cont. Footing </t>
    </r>
    <r>
      <rPr>
        <b/>
        <sz val="11"/>
        <color theme="1"/>
        <rFont val="Calibri"/>
        <family val="2"/>
      </rPr>
      <t>(393 LF)</t>
    </r>
  </si>
  <si>
    <r>
      <t xml:space="preserve">2'-0"Wide x 4" High, Thickened Edge Cont. Footing </t>
    </r>
    <r>
      <rPr>
        <b/>
        <sz val="11"/>
        <color theme="1"/>
        <rFont val="Calibri"/>
        <family val="2"/>
      </rPr>
      <t>(509 LF)</t>
    </r>
  </si>
  <si>
    <r>
      <t xml:space="preserve">Note: </t>
    </r>
    <r>
      <rPr>
        <sz val="11"/>
        <color rgb="FFFF0000"/>
        <rFont val="Calibri"/>
        <family val="2"/>
      </rPr>
      <t>Reinforcement Type Is Assumed For All Walls Footing. No Details Are Provided.</t>
    </r>
  </si>
  <si>
    <t>CONCRETE WALL</t>
  </si>
  <si>
    <t>Reinforcement:
- #7 Rebar @ 12" O.C. E.W. E.F. (14763 LF)</t>
  </si>
  <si>
    <t>Reinforcement:
- #7 Rebar @ 12" O.C. E.W. E.F. (6039 LF)</t>
  </si>
  <si>
    <t>Reinforcement:
- #6 Rebar @ 12" O.C. E.W. (394 LF)</t>
  </si>
  <si>
    <t>Reinforcement:
- #5 Rebar @ 12" O.C. E.W. (230 LF)</t>
  </si>
  <si>
    <t>Reinforcement:
- #5 Rebar @ 12" O.C. E.W. (20 LF)</t>
  </si>
  <si>
    <t>Reinforcement:
- #5 Rebar @ 12" O.C. E.W. (1597 LF)</t>
  </si>
  <si>
    <r>
      <t xml:space="preserve">12"Thick, Concrete Wall (5'-0" High) </t>
    </r>
    <r>
      <rPr>
        <b/>
        <sz val="11"/>
        <color theme="1"/>
        <rFont val="Calibri"/>
        <family val="2"/>
      </rPr>
      <t>(143 LF)</t>
    </r>
  </si>
  <si>
    <r>
      <t xml:space="preserve">Reinforcement:
- #7 Rebar @ 12" O.C. E.W. E.F. (2869 LF)
Note: </t>
    </r>
    <r>
      <rPr>
        <sz val="11"/>
        <color rgb="FFFF0000"/>
        <rFont val="Calibri"/>
        <family val="2"/>
      </rPr>
      <t>Reinforcement Type Is Assumed. No Details Are Provided.</t>
    </r>
  </si>
  <si>
    <r>
      <t xml:space="preserve">12" Thick, Concrete Wall (24'-0" High) </t>
    </r>
    <r>
      <rPr>
        <b/>
        <sz val="11"/>
        <color theme="1"/>
        <rFont val="Calibri"/>
        <family val="2"/>
      </rPr>
      <t xml:space="preserve">(154 LF) </t>
    </r>
  </si>
  <si>
    <r>
      <t xml:space="preserve">12" Thick, Concrete Wall (13'-0" High) </t>
    </r>
    <r>
      <rPr>
        <b/>
        <sz val="11"/>
        <color theme="1"/>
        <rFont val="Calibri"/>
        <family val="2"/>
      </rPr>
      <t xml:space="preserve">(116 LF) </t>
    </r>
  </si>
  <si>
    <r>
      <t xml:space="preserve">8" Thick, Concrete Wall (13'-0" High) </t>
    </r>
    <r>
      <rPr>
        <b/>
        <sz val="11"/>
        <color theme="1"/>
        <rFont val="Calibri"/>
        <family val="2"/>
      </rPr>
      <t xml:space="preserve">(15 LF) </t>
    </r>
  </si>
  <si>
    <r>
      <t xml:space="preserve">8" Thick, Concrete Wall (2'-0" High) </t>
    </r>
    <r>
      <rPr>
        <b/>
        <sz val="11"/>
        <color theme="1"/>
        <rFont val="Calibri"/>
        <family val="2"/>
      </rPr>
      <t xml:space="preserve">(57 LF) </t>
    </r>
  </si>
  <si>
    <r>
      <t xml:space="preserve">8" Thick, Concrete Wall (2'-8" High) </t>
    </r>
    <r>
      <rPr>
        <b/>
        <sz val="11"/>
        <color theme="1"/>
        <rFont val="Calibri"/>
        <family val="2"/>
      </rPr>
      <t xml:space="preserve">(3 LF) </t>
    </r>
  </si>
  <si>
    <r>
      <t xml:space="preserve">8" Thick, Concrete Wall (4'-8" High) </t>
    </r>
    <r>
      <rPr>
        <b/>
        <sz val="11"/>
        <color theme="1"/>
        <rFont val="Calibri"/>
        <family val="2"/>
      </rPr>
      <t>(171 LF)</t>
    </r>
  </si>
  <si>
    <t>GRADE BEAM</t>
  </si>
  <si>
    <t>Reinforcement:
- (8) #8 Rebar Cont. Bottom (566 LF)
- (5) #6 Rebar Cont. Top (354 LF)
- #4 Stirrups @ 12" O.C. (760 LF)</t>
  </si>
  <si>
    <t>Reinforcement:
- (16) #8 Rebar Cont. Bottom (2565 LF)
- (5) #6 Rebar Cont. Top (802 LF)
- #4 Stirrups @ 12" O.C. (1774 LF)</t>
  </si>
  <si>
    <t>Reinforcement:
- (4) #7 Rebar Cont. Bottom (251 LF)
- (3) #6 Rebar Cont. Top (188 LF)
- #4 Stirrups @ 12" O.C. (637 LF)</t>
  </si>
  <si>
    <t>Reinforcement:
- (14) #8 Rebar Cont. Bottom (605 LF)
- (5) #6 Rebar Cont. Top (216 LF)
- #4 Stirrups @ 12" O.C. (590 LF)</t>
  </si>
  <si>
    <r>
      <t xml:space="preserve">GB1: 24"Wide x 36"Deep, Grade Beam </t>
    </r>
    <r>
      <rPr>
        <b/>
        <sz val="11"/>
        <color theme="1"/>
        <rFont val="Calibri"/>
        <family val="2"/>
      </rPr>
      <t>(71 LF)</t>
    </r>
  </si>
  <si>
    <r>
      <t xml:space="preserve">GB2: 30"Wide x 36"Deep, Grade Beam </t>
    </r>
    <r>
      <rPr>
        <b/>
        <sz val="11"/>
        <color theme="1"/>
        <rFont val="Calibri"/>
        <family val="2"/>
      </rPr>
      <t>(160 LF)</t>
    </r>
  </si>
  <si>
    <r>
      <t xml:space="preserve">GB3: 12"Wide x 48"Deep, Grade Beam </t>
    </r>
    <r>
      <rPr>
        <b/>
        <sz val="11"/>
        <color theme="1"/>
        <rFont val="Calibri"/>
        <family val="2"/>
      </rPr>
      <t>(63 LF)</t>
    </r>
  </si>
  <si>
    <r>
      <t xml:space="preserve">GB4: 32"Wide x 48"Deep, Grade Beam </t>
    </r>
    <r>
      <rPr>
        <b/>
        <sz val="11"/>
        <color theme="1"/>
        <rFont val="Calibri"/>
        <family val="2"/>
      </rPr>
      <t>(43 LF)</t>
    </r>
  </si>
  <si>
    <t>SLAB ON GRADE</t>
  </si>
  <si>
    <t>Reinforcement:
- 6 x 6 -W2.1xW2.1 WWM</t>
  </si>
  <si>
    <t xml:space="preserve">Thickened Edge </t>
  </si>
  <si>
    <t>Reinforcement: 
- #5 Dowel Rebar @ 16" O.C. (3746 LF)</t>
  </si>
  <si>
    <r>
      <t xml:space="preserve">4" Thick, Concrete Slab On Grade </t>
    </r>
    <r>
      <rPr>
        <b/>
        <sz val="11"/>
        <color theme="1"/>
        <rFont val="Calibri"/>
        <family val="2"/>
      </rPr>
      <t xml:space="preserve">(88766 SF) </t>
    </r>
  </si>
  <si>
    <r>
      <t xml:space="preserve">6" Thick, Compacted Gravel </t>
    </r>
    <r>
      <rPr>
        <b/>
        <sz val="11"/>
        <color theme="1"/>
        <rFont val="Calibri"/>
        <family val="2"/>
      </rPr>
      <t>(88766 SF)</t>
    </r>
  </si>
  <si>
    <r>
      <t xml:space="preserve">1'-6"Thick, Elevator Pit Slab </t>
    </r>
    <r>
      <rPr>
        <b/>
        <sz val="11"/>
        <color theme="1"/>
        <rFont val="Calibri"/>
        <family val="2"/>
      </rPr>
      <t>(600 SF)</t>
    </r>
  </si>
  <si>
    <r>
      <t xml:space="preserve">Note: </t>
    </r>
    <r>
      <rPr>
        <sz val="11"/>
        <color rgb="FFFF0000"/>
        <rFont val="Calibri"/>
        <family val="2"/>
      </rPr>
      <t>Reinforcement Details Are Not Provided.</t>
    </r>
  </si>
  <si>
    <t>Reinforcement:
- 6 x 6 -W2.1xW2.1 WWF</t>
  </si>
  <si>
    <t>#5 Rebar Cont. (808 LF)</t>
  </si>
  <si>
    <t>Reinforcement:
- 6 x 6-W2.1xW2.1 WWF</t>
  </si>
  <si>
    <t>8" Thick, Rigid Insulation</t>
  </si>
  <si>
    <t>Thickened Edge</t>
  </si>
  <si>
    <t>Reinforcement:
- #4 Dowel Rebar @ 16" O.C. (1920 LF)
- (8) #6 Rebar Cont. (1831 LF)
- #4 Trans. Rebar @ 16" O.C. (260 LF)</t>
  </si>
  <si>
    <r>
      <t>6-1/4"Thick, Lightweight Concrete Slab On 2"Thick, 20 GA Composite Deck</t>
    </r>
    <r>
      <rPr>
        <b/>
        <sz val="11"/>
        <color theme="1"/>
        <rFont val="Calibri"/>
        <family val="2"/>
      </rPr>
      <t xml:space="preserve"> (89722 SF) </t>
    </r>
  </si>
  <si>
    <r>
      <t xml:space="preserve">3/4"Thick, Gypcrete Topping </t>
    </r>
    <r>
      <rPr>
        <b/>
        <sz val="11"/>
        <color theme="1"/>
        <rFont val="Calibri"/>
        <family val="2"/>
      </rPr>
      <t>(222349 SF)</t>
    </r>
  </si>
  <si>
    <r>
      <t xml:space="preserve">5"Thick, Concrete Slab On 2" Thick, Composite Deck </t>
    </r>
    <r>
      <rPr>
        <b/>
        <sz val="11"/>
        <color theme="1"/>
        <rFont val="Calibri"/>
        <family val="2"/>
      </rPr>
      <t>(404 SF)</t>
    </r>
  </si>
  <si>
    <r>
      <t xml:space="preserve">4"Thick, Lighweight Concrete Slab </t>
    </r>
    <r>
      <rPr>
        <b/>
        <sz val="11"/>
        <color theme="1"/>
        <rFont val="Calibri"/>
        <family val="2"/>
      </rPr>
      <t xml:space="preserve">(22639 SF) </t>
    </r>
  </si>
  <si>
    <t>DIVISION 32- EXTERIOR IMPROVEMENT</t>
  </si>
  <si>
    <t>CURB, GUTTER &amp; SIDEWALK</t>
  </si>
  <si>
    <t>6"Thick x 8"High, Concrete Setting Block</t>
  </si>
  <si>
    <t>6"Thick, Precast Flush Curb</t>
  </si>
  <si>
    <t>6"Thick, Precast Transition Curb</t>
  </si>
  <si>
    <t>6"Thick, Precast Curb</t>
  </si>
  <si>
    <r>
      <t xml:space="preserve">5" Thick, Concrete Sidewalk </t>
    </r>
    <r>
      <rPr>
        <b/>
        <sz val="11"/>
        <color theme="1"/>
        <rFont val="Calibri"/>
        <family val="2"/>
        <scheme val="minor"/>
      </rPr>
      <t xml:space="preserve">(3638 SF) </t>
    </r>
  </si>
  <si>
    <t xml:space="preserve">Reinforcement:
- 6" x 6" x W2.9 x W2.9 WWF </t>
  </si>
  <si>
    <r>
      <t xml:space="preserve">6" Thick, Compacted Gravel Base </t>
    </r>
    <r>
      <rPr>
        <b/>
        <sz val="11"/>
        <color theme="1"/>
        <rFont val="Calibri"/>
        <family val="2"/>
        <scheme val="minor"/>
      </rPr>
      <t>(3638 SF)</t>
    </r>
  </si>
  <si>
    <r>
      <t xml:space="preserve">5" Thick, Concrete Ramp </t>
    </r>
    <r>
      <rPr>
        <b/>
        <sz val="11"/>
        <color theme="1"/>
        <rFont val="Calibri"/>
        <family val="2"/>
        <scheme val="minor"/>
      </rPr>
      <t>(81 SF)</t>
    </r>
  </si>
  <si>
    <t>Reinforcement:
- 6" x 6" x W2.9 x W2.9 WWF</t>
  </si>
  <si>
    <r>
      <t xml:space="preserve">6" Thick, Compacted Gravel Base </t>
    </r>
    <r>
      <rPr>
        <b/>
        <sz val="11"/>
        <color theme="1"/>
        <rFont val="Calibri"/>
        <family val="2"/>
        <scheme val="minor"/>
      </rPr>
      <t>(81 LF)</t>
    </r>
  </si>
  <si>
    <t>6"Wide x 7'-0"Long, Precast Wheelstop</t>
  </si>
  <si>
    <t>6"Wide x 6'-6"Long, Precast Wheelstop</t>
  </si>
  <si>
    <r>
      <t xml:space="preserve">4" Dia. Steel Pipe Bollards (5'-0"High) </t>
    </r>
    <r>
      <rPr>
        <b/>
        <sz val="11"/>
        <color theme="1"/>
        <rFont val="Calibri"/>
        <family val="2"/>
        <scheme val="minor"/>
      </rPr>
      <t>(57 EA)</t>
    </r>
    <r>
      <rPr>
        <sz val="11"/>
        <rFont val="Calibri"/>
        <family val="2"/>
        <scheme val="minor"/>
      </rPr>
      <t xml:space="preserve">
With 1'-6" Dia. Circular Footing (4'-0" High)</t>
    </r>
  </si>
  <si>
    <r>
      <t xml:space="preserve">6" Thick, Concrete Pavement </t>
    </r>
    <r>
      <rPr>
        <b/>
        <sz val="11"/>
        <color theme="1"/>
        <rFont val="Calibri"/>
        <family val="2"/>
        <scheme val="minor"/>
      </rPr>
      <t xml:space="preserve">(6758 SF)
</t>
    </r>
    <r>
      <rPr>
        <sz val="11"/>
        <rFont val="Calibri"/>
        <family val="2"/>
        <scheme val="minor"/>
      </rPr>
      <t xml:space="preserve">Note: </t>
    </r>
    <r>
      <rPr>
        <sz val="11"/>
        <color rgb="FFFF0000"/>
        <rFont val="Calibri"/>
        <family val="2"/>
        <scheme val="minor"/>
      </rPr>
      <t>Thickness Is Assumed. No Details Are Provided.</t>
    </r>
  </si>
  <si>
    <r>
      <t xml:space="preserve">6" Thick, Concrete Pad Footing </t>
    </r>
    <r>
      <rPr>
        <b/>
        <sz val="11"/>
        <color theme="1"/>
        <rFont val="Calibri"/>
        <family val="2"/>
        <scheme val="minor"/>
      </rPr>
      <t>(61 SF)</t>
    </r>
    <r>
      <rPr>
        <sz val="11"/>
        <rFont val="Calibri"/>
        <family val="2"/>
        <scheme val="minor"/>
      </rPr>
      <t xml:space="preserve">
Note:</t>
    </r>
    <r>
      <rPr>
        <sz val="11"/>
        <color rgb="FFFF0000"/>
        <rFont val="Calibri"/>
        <family val="2"/>
        <scheme val="minor"/>
      </rPr>
      <t xml:space="preserve"> Thickness Is Assumed. Details Are Not Provided.</t>
    </r>
  </si>
  <si>
    <r>
      <t xml:space="preserve">8" Thick, Concrete Pads @ Electrical Equipment </t>
    </r>
    <r>
      <rPr>
        <b/>
        <sz val="11"/>
        <color theme="1"/>
        <rFont val="Calibri"/>
        <family val="2"/>
        <scheme val="minor"/>
      </rPr>
      <t xml:space="preserve">(271 SF)
</t>
    </r>
    <r>
      <rPr>
        <sz val="11"/>
        <rFont val="Calibri"/>
        <family val="2"/>
        <scheme val="minor"/>
      </rPr>
      <t xml:space="preserve">Note: </t>
    </r>
    <r>
      <rPr>
        <sz val="11"/>
        <color rgb="FFFF0000"/>
        <rFont val="Calibri"/>
        <family val="2"/>
        <scheme val="minor"/>
      </rPr>
      <t>Thickness Is Assumed. Details Are Not Provided.</t>
    </r>
  </si>
  <si>
    <r>
      <t xml:space="preserve">12" Wide, Concrete Turndown (1'-6" High) </t>
    </r>
    <r>
      <rPr>
        <b/>
        <sz val="11"/>
        <color theme="1"/>
        <rFont val="Calibri"/>
        <family val="2"/>
        <scheme val="minor"/>
      </rPr>
      <t>(125 LF)</t>
    </r>
    <r>
      <rPr>
        <sz val="11"/>
        <rFont val="Calibri"/>
        <family val="2"/>
        <scheme val="minor"/>
      </rPr>
      <t xml:space="preserve">
Note: </t>
    </r>
    <r>
      <rPr>
        <sz val="11"/>
        <color rgb="FFFF0000"/>
        <rFont val="Calibri"/>
        <family val="2"/>
        <scheme val="minor"/>
      </rPr>
      <t>Dimensions Are Assumed. Details Are Not Provided.</t>
    </r>
  </si>
  <si>
    <t>WHEELSTOP</t>
  </si>
  <si>
    <t>BOLLARDS</t>
  </si>
  <si>
    <t>PAVEMENT</t>
  </si>
  <si>
    <t>CONCRETE PADS</t>
  </si>
  <si>
    <t>TURNDOWN</t>
  </si>
  <si>
    <t>DIVISION 31- EARTHWORK</t>
  </si>
  <si>
    <t>EXCAVATION</t>
  </si>
  <si>
    <t>BACKFILL</t>
  </si>
  <si>
    <r>
      <t xml:space="preserve">Excavation
Note: </t>
    </r>
    <r>
      <rPr>
        <sz val="11"/>
        <color rgb="FFFF0000"/>
        <rFont val="Calibri"/>
        <family val="2"/>
      </rPr>
      <t>Exacavtion For Pad Footings &amp; Piers</t>
    </r>
  </si>
  <si>
    <r>
      <t>Backfill
Note:</t>
    </r>
    <r>
      <rPr>
        <sz val="11"/>
        <color rgb="FFFF0000"/>
        <rFont val="Calibri"/>
        <family val="2"/>
      </rPr>
      <t xml:space="preserve"> Only For Pad Footings And Pier.</t>
    </r>
  </si>
  <si>
    <t>C-301</t>
  </si>
  <si>
    <t>C-901</t>
  </si>
  <si>
    <t>S102.1 To S106.2B</t>
  </si>
  <si>
    <t>S101.1 To S101.2B</t>
  </si>
  <si>
    <t>S102.1 To S105.1</t>
  </si>
  <si>
    <t>DETAILED BREAKDOWN OF ITEMS</t>
  </si>
  <si>
    <t>Project Name</t>
  </si>
  <si>
    <t>Project Address</t>
  </si>
  <si>
    <t>Scope:</t>
  </si>
  <si>
    <t>UNIT PRICE (Labor &amp; Material)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</si>
</sst>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000000"/>
    <numFmt numFmtId="166" formatCode="0.0"/>
    <numFmt numFmtId="167" formatCode="0.000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0.0%"/>
    <numFmt numFmtId="171" formatCode="[$-409]d\-mmm\-yy;@"/>
  </numFmts>
  <fonts count="27">
    <font>
      <sz val="11"/>
      <name val="Calibri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color rgb="FF0C0C0C"/>
      <name val="Calibri"/>
      <family val="2"/>
    </font>
    <font>
      <b/>
      <sz val="11"/>
      <color rgb="FF0C0C0C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rgb="FF009A88"/>
      <name val="Times New Roman"/>
      <family val="1"/>
    </font>
    <font>
      <b/>
      <sz val="12"/>
      <color theme="0"/>
      <name val="Times New Roman"/>
      <charset val="134"/>
    </font>
    <font>
      <b/>
      <sz val="12"/>
      <color theme="0"/>
      <name val="Calibri"/>
      <charset val="134"/>
    </font>
    <font>
      <sz val="12"/>
      <color theme="1"/>
      <name val="Calibri"/>
      <charset val="134"/>
    </font>
    <font>
      <sz val="12"/>
      <color indexed="9"/>
      <name val="Calibri"/>
      <charset val="134"/>
    </font>
    <font>
      <sz val="12"/>
      <color rgb="FFFFFFFF"/>
      <name val="Calibri"/>
      <charset val="134"/>
    </font>
    <font>
      <b/>
      <sz val="12"/>
      <color indexed="9"/>
      <name val="Calibri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DC3E5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3554"/>
        <bgColor indexed="64"/>
      </patternFill>
    </fill>
    <fill>
      <patternFill patternType="solid">
        <fgColor rgb="FF013554"/>
        <bgColor rgb="FF366092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92CDD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64" fontId="1" fillId="0" borderId="0">
      <alignment vertical="top"/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</cellStyleXfs>
  <cellXfs count="1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8" fontId="4" fillId="0" borderId="1" xfId="0" applyNumberFormat="1" applyFont="1" applyBorder="1" applyAlignment="1">
      <alignment horizontal="left" vertical="center"/>
    </xf>
    <xf numFmtId="168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2" borderId="1" xfId="3" applyFont="1" applyFill="1" applyBorder="1" applyAlignment="1" applyProtection="1">
      <alignment horizontal="center"/>
    </xf>
    <xf numFmtId="0" fontId="3" fillId="0" borderId="1" xfId="3" applyFont="1" applyBorder="1" applyProtection="1"/>
    <xf numFmtId="0" fontId="4" fillId="0" borderId="0" xfId="0" applyFont="1" applyAlignment="1">
      <alignment horizontal="left"/>
    </xf>
    <xf numFmtId="0" fontId="9" fillId="0" borderId="0" xfId="0" applyFont="1" applyAlignment="1"/>
    <xf numFmtId="0" fontId="10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9" fontId="6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8" fontId="6" fillId="0" borderId="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4" fontId="3" fillId="0" borderId="7" xfId="1" applyFont="1" applyBorder="1" applyAlignment="1" applyProtection="1">
      <alignment horizontal="center" vertical="center"/>
    </xf>
    <xf numFmtId="168" fontId="4" fillId="0" borderId="7" xfId="0" applyNumberFormat="1" applyFont="1" applyBorder="1" applyAlignment="1">
      <alignment horizontal="left" vertical="center"/>
    </xf>
    <xf numFmtId="168" fontId="4" fillId="0" borderId="7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/>
    </xf>
    <xf numFmtId="168" fontId="6" fillId="0" borderId="18" xfId="0" applyNumberFormat="1" applyFont="1" applyBorder="1" applyAlignment="1">
      <alignment horizontal="center" vertical="center"/>
    </xf>
    <xf numFmtId="169" fontId="7" fillId="3" borderId="19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4" borderId="0" xfId="0" applyFont="1" applyFill="1">
      <alignment vertical="center"/>
    </xf>
    <xf numFmtId="0" fontId="16" fillId="4" borderId="4" xfId="0" applyFont="1" applyFill="1" applyBorder="1">
      <alignment vertical="center"/>
    </xf>
    <xf numFmtId="0" fontId="16" fillId="0" borderId="0" xfId="0" applyFont="1">
      <alignment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1" fontId="19" fillId="4" borderId="0" xfId="0" applyNumberFormat="1" applyFont="1" applyFill="1" applyAlignment="1">
      <alignment vertical="center" wrapText="1"/>
    </xf>
    <xf numFmtId="171" fontId="19" fillId="4" borderId="5" xfId="0" applyNumberFormat="1" applyFont="1" applyFill="1" applyBorder="1" applyAlignment="1">
      <alignment vertical="center" wrapText="1"/>
    </xf>
    <xf numFmtId="3" fontId="17" fillId="4" borderId="0" xfId="0" applyNumberFormat="1" applyFont="1" applyFill="1" applyAlignment="1"/>
    <xf numFmtId="0" fontId="19" fillId="4" borderId="0" xfId="0" applyFont="1" applyFill="1">
      <alignment vertical="center"/>
    </xf>
    <xf numFmtId="3" fontId="20" fillId="4" borderId="0" xfId="0" applyNumberFormat="1" applyFont="1" applyFill="1" applyAlignment="1">
      <alignment vertical="center" wrapText="1"/>
    </xf>
    <xf numFmtId="0" fontId="18" fillId="4" borderId="0" xfId="0" applyFont="1" applyFill="1">
      <alignment vertical="center"/>
    </xf>
    <xf numFmtId="3" fontId="20" fillId="4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165" fontId="22" fillId="6" borderId="11" xfId="0" applyNumberFormat="1" applyFont="1" applyFill="1" applyBorder="1" applyAlignment="1">
      <alignment horizontal="center" vertical="center" wrapText="1"/>
    </xf>
    <xf numFmtId="165" fontId="22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65" fontId="22" fillId="6" borderId="9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165" fontId="24" fillId="6" borderId="11" xfId="0" applyNumberFormat="1" applyFont="1" applyFill="1" applyBorder="1" applyAlignment="1">
      <alignment horizontal="center" vertical="center" wrapText="1"/>
    </xf>
    <xf numFmtId="165" fontId="24" fillId="6" borderId="1" xfId="0" applyNumberFormat="1" applyFont="1" applyFill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165" fontId="24" fillId="6" borderId="9" xfId="0" applyNumberFormat="1" applyFont="1" applyFill="1" applyBorder="1" applyAlignment="1">
      <alignment horizontal="center" vertical="center" wrapText="1"/>
    </xf>
    <xf numFmtId="0" fontId="23" fillId="0" borderId="0" xfId="0" applyFont="1" applyAlignment="1"/>
    <xf numFmtId="0" fontId="2" fillId="8" borderId="1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left" vertical="center"/>
    </xf>
    <xf numFmtId="169" fontId="2" fillId="8" borderId="9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" fontId="2" fillId="8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left" vertical="center"/>
    </xf>
    <xf numFmtId="169" fontId="2" fillId="9" borderId="9" xfId="0" applyNumberFormat="1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left" vertical="center"/>
    </xf>
    <xf numFmtId="169" fontId="2" fillId="10" borderId="9" xfId="0" applyNumberFormat="1" applyFont="1" applyFill="1" applyBorder="1" applyAlignment="1">
      <alignment horizontal="left" vertical="center"/>
    </xf>
    <xf numFmtId="170" fontId="2" fillId="10" borderId="1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center" vertical="center"/>
    </xf>
    <xf numFmtId="165" fontId="2" fillId="10" borderId="13" xfId="0" applyNumberFormat="1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left" vertical="center" wrapText="1"/>
    </xf>
    <xf numFmtId="0" fontId="7" fillId="10" borderId="13" xfId="0" applyFont="1" applyFill="1" applyBorder="1" applyAlignment="1">
      <alignment horizontal="center" vertical="center"/>
    </xf>
    <xf numFmtId="1" fontId="7" fillId="10" borderId="13" xfId="0" applyNumberFormat="1" applyFont="1" applyFill="1" applyBorder="1" applyAlignment="1">
      <alignment horizontal="center" vertical="center"/>
    </xf>
    <xf numFmtId="164" fontId="7" fillId="10" borderId="13" xfId="0" applyNumberFormat="1" applyFont="1" applyFill="1" applyBorder="1" applyAlignment="1">
      <alignment horizontal="left" vertical="center"/>
    </xf>
    <xf numFmtId="169" fontId="2" fillId="10" borderId="14" xfId="0" applyNumberFormat="1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4" xfId="3" xr:uid="{00000000-0005-0000-0000-000017000000}"/>
    <cellStyle name="Normal 5" xfId="2" xr:uid="{00000000-0005-0000-0000-000008000000}"/>
    <cellStyle name="Normal 6" xfId="4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36C7E5-1A5C-4EB2-A029-587190FAD18F}"/>
            </a:ext>
          </a:extLst>
        </xdr:cNvPr>
        <xdr:cNvSpPr txBox="1"/>
      </xdr:nvSpPr>
      <xdr:spPr>
        <a:xfrm>
          <a:off x="2200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3C595DA-BDAF-4C7B-B872-61B58FC3DDE3}"/>
            </a:ext>
          </a:extLst>
        </xdr:cNvPr>
        <xdr:cNvSpPr txBox="1"/>
      </xdr:nvSpPr>
      <xdr:spPr>
        <a:xfrm>
          <a:off x="17430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F2440F-7962-4F5D-9944-DE7DE17988E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7045DE-1BEF-44C6-95D3-BF3A07973FD4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71231F6-1233-44FF-8E7E-103B1030F328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7713565-74DA-4113-B057-77110EBAE191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B4EDC3-76E9-4CF1-9248-CAC6B064592D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1F75FDD-5EBE-4866-A6D2-39E09C9B050F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B4DE915-D1BE-47DF-92B1-35E20EAE1B57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7B3FD95-EAF2-4435-9D43-226342D43A2A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D491910-F505-49C2-B064-4F170E3121C3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09DFA35-36E2-42E2-B931-7C6F59CF2951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C83D6C6-FCB4-49FA-959E-17F9B0E7976A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93E3EC7-FE99-4865-962B-EF295933A220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AD8B990-6E02-42AD-87F7-D1851F82AAAE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3047AC5-992D-4B45-A23C-C31BE64BE4CB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DA65441-1A1B-49BC-9F0F-A4C60B9CB2AC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DA47BA-E16E-4B24-904A-F42046470591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685F8AA-6632-47A8-9564-0ED861D12C04}"/>
            </a:ext>
          </a:extLst>
        </xdr:cNvPr>
        <xdr:cNvSpPr txBox="1"/>
      </xdr:nvSpPr>
      <xdr:spPr>
        <a:xfrm>
          <a:off x="36195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38D6F37-CDFB-4C52-B47D-2163A6F00512}"/>
            </a:ext>
          </a:extLst>
        </xdr:cNvPr>
        <xdr:cNvSpPr txBox="1"/>
      </xdr:nvSpPr>
      <xdr:spPr>
        <a:xfrm>
          <a:off x="3162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15</xdr:col>
      <xdr:colOff>152400</xdr:colOff>
      <xdr:row>3</xdr:row>
      <xdr:rowOff>31203</xdr:rowOff>
    </xdr:from>
    <xdr:to>
      <xdr:col>16</xdr:col>
      <xdr:colOff>992508</xdr:colOff>
      <xdr:row>5</xdr:row>
      <xdr:rowOff>70012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A6BCA2C-B336-4C78-BF57-1DF2435E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6800" y="475703"/>
          <a:ext cx="2186308" cy="572209"/>
        </a:xfrm>
        <a:prstGeom prst="rect">
          <a:avLst/>
        </a:prstGeom>
      </xdr:spPr>
    </xdr:pic>
    <xdr:clientData/>
  </xdr:twoCellAnchor>
  <xdr:oneCellAnchor>
    <xdr:from>
      <xdr:col>3</xdr:col>
      <xdr:colOff>457200</xdr:colOff>
      <xdr:row>7</xdr:row>
      <xdr:rowOff>0</xdr:rowOff>
    </xdr:from>
    <xdr:ext cx="184731" cy="285515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DC93C57-12B0-42E1-A8CE-AA976C9FC7E9}"/>
            </a:ext>
          </a:extLst>
        </xdr:cNvPr>
        <xdr:cNvSpPr txBox="1"/>
      </xdr:nvSpPr>
      <xdr:spPr>
        <a:xfrm>
          <a:off x="2179320" y="126492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8551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75B7C1C-D447-4BDD-8CBC-FC588B74710A}"/>
            </a:ext>
          </a:extLst>
        </xdr:cNvPr>
        <xdr:cNvSpPr txBox="1"/>
      </xdr:nvSpPr>
      <xdr:spPr>
        <a:xfrm>
          <a:off x="1722120" y="126492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8361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73310640-7709-4825-A83D-86351707E152}"/>
            </a:ext>
          </a:extLst>
        </xdr:cNvPr>
        <xdr:cNvSpPr txBox="1"/>
      </xdr:nvSpPr>
      <xdr:spPr>
        <a:xfrm>
          <a:off x="2179320" y="126492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8361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06EB1ED-9189-4E96-B4DD-4F814EAED310}"/>
            </a:ext>
          </a:extLst>
        </xdr:cNvPr>
        <xdr:cNvSpPr txBox="1"/>
      </xdr:nvSpPr>
      <xdr:spPr>
        <a:xfrm>
          <a:off x="1722120" y="126492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29"/>
  <sheetViews>
    <sheetView tabSelected="1" topLeftCell="A2" zoomScale="60" zoomScaleNormal="60" workbookViewId="0">
      <selection activeCell="I310" sqref="I310"/>
    </sheetView>
  </sheetViews>
  <sheetFormatPr defaultColWidth="14.44140625" defaultRowHeight="15" customHeight="1"/>
  <cols>
    <col min="1" max="1" width="6" style="5" customWidth="1"/>
    <col min="2" max="2" width="11.33203125" style="5" customWidth="1"/>
    <col min="3" max="3" width="9.6640625" style="5" customWidth="1"/>
    <col min="4" max="4" width="103.33203125" style="5" customWidth="1"/>
    <col min="5" max="5" width="12.6640625" style="35" customWidth="1"/>
    <col min="6" max="6" width="13.33203125" style="35" customWidth="1"/>
    <col min="7" max="7" width="11.33203125" style="35" customWidth="1"/>
    <col min="8" max="8" width="10.33203125" style="35" customWidth="1"/>
    <col min="9" max="9" width="14" style="1" customWidth="1"/>
    <col min="10" max="10" width="12.6640625" style="1" customWidth="1"/>
    <col min="11" max="11" width="13.5546875" style="1" customWidth="1"/>
    <col min="12" max="15" width="14.6640625" style="5" customWidth="1"/>
    <col min="16" max="16" width="19.5546875" style="5" customWidth="1"/>
    <col min="17" max="17" width="20.33203125" style="5" customWidth="1"/>
    <col min="18" max="36" width="8.6640625" style="5" customWidth="1"/>
    <col min="37" max="16384" width="14.44140625" style="5"/>
  </cols>
  <sheetData>
    <row r="1" spans="1:17" s="66" customFormat="1" ht="15" hidden="1" customHeight="1" thickBo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7" s="64" customFormat="1" ht="16.2" thickBot="1">
      <c r="A2" s="89" t="s">
        <v>188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  <c r="P2" s="89"/>
      <c r="Q2" s="90"/>
    </row>
    <row r="3" spans="1:17" s="64" customFormat="1" ht="17.399999999999999" customHeight="1">
      <c r="A3" s="65"/>
      <c r="B3" s="77" t="s">
        <v>189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</row>
    <row r="4" spans="1:17" s="64" customFormat="1" ht="18" customHeight="1">
      <c r="A4" s="65"/>
      <c r="B4" s="71" t="s">
        <v>190</v>
      </c>
      <c r="C4" s="71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</row>
    <row r="5" spans="1:17" s="64" customFormat="1" ht="24" customHeight="1">
      <c r="A5" s="65"/>
      <c r="B5" s="72" t="s">
        <v>191</v>
      </c>
      <c r="C5" s="72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0"/>
    </row>
    <row r="6" spans="1:17" s="64" customFormat="1" ht="6.6" customHeight="1">
      <c r="A6" s="75"/>
      <c r="B6" s="73"/>
      <c r="C6" s="73"/>
      <c r="D6" s="73"/>
      <c r="E6" s="73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0"/>
    </row>
    <row r="7" spans="1:17" s="64" customFormat="1" ht="17.399999999999999">
      <c r="A7" s="75"/>
      <c r="B7" s="73"/>
      <c r="C7" s="73"/>
      <c r="D7" s="73"/>
      <c r="E7" s="7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0"/>
    </row>
    <row r="8" spans="1:17" s="96" customFormat="1" ht="59.4" customHeight="1">
      <c r="A8" s="92" t="s">
        <v>0</v>
      </c>
      <c r="B8" s="93" t="s">
        <v>1</v>
      </c>
      <c r="C8" s="93" t="s">
        <v>2</v>
      </c>
      <c r="D8" s="94" t="s">
        <v>3</v>
      </c>
      <c r="E8" s="93" t="s">
        <v>4</v>
      </c>
      <c r="F8" s="93" t="s">
        <v>5</v>
      </c>
      <c r="G8" s="93" t="s">
        <v>6</v>
      </c>
      <c r="H8" s="93" t="s">
        <v>7</v>
      </c>
      <c r="I8" s="93" t="s">
        <v>8</v>
      </c>
      <c r="J8" s="93" t="s">
        <v>9</v>
      </c>
      <c r="K8" s="93" t="s">
        <v>10</v>
      </c>
      <c r="L8" s="93" t="s">
        <v>14</v>
      </c>
      <c r="M8" s="93" t="s">
        <v>11</v>
      </c>
      <c r="N8" s="93" t="s">
        <v>13</v>
      </c>
      <c r="O8" s="93" t="s">
        <v>12</v>
      </c>
      <c r="P8" s="93" t="s">
        <v>192</v>
      </c>
      <c r="Q8" s="95" t="s">
        <v>15</v>
      </c>
    </row>
    <row r="9" spans="1:17" s="102" customFormat="1" ht="18" customHeight="1">
      <c r="A9" s="97"/>
      <c r="B9" s="98"/>
      <c r="C9" s="99">
        <v>1</v>
      </c>
      <c r="D9" s="100" t="s">
        <v>16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101"/>
    </row>
    <row r="10" spans="1:17" ht="15.6">
      <c r="A10" s="36">
        <f>IF(G10&lt;&gt;"",1+MAX($A$1:A9),"")</f>
        <v>1</v>
      </c>
      <c r="B10" s="6"/>
      <c r="C10" s="7"/>
      <c r="D10" s="2" t="s">
        <v>17</v>
      </c>
      <c r="E10" s="8">
        <v>1</v>
      </c>
      <c r="F10" s="9">
        <v>0.05</v>
      </c>
      <c r="G10" s="10">
        <f>E10*(1+F10)</f>
        <v>1.05</v>
      </c>
      <c r="H10" s="1" t="s">
        <v>18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5">
        <f>O10</f>
        <v>0</v>
      </c>
      <c r="Q10" s="37"/>
    </row>
    <row r="11" spans="1:17" ht="15.6">
      <c r="A11" s="36">
        <f>IF(G11&lt;&gt;"",1+MAX($A$1:A10),"")</f>
        <v>2</v>
      </c>
      <c r="B11" s="6"/>
      <c r="C11" s="7"/>
      <c r="D11" s="2" t="s">
        <v>19</v>
      </c>
      <c r="E11" s="8">
        <v>1</v>
      </c>
      <c r="F11" s="9">
        <v>0.05</v>
      </c>
      <c r="G11" s="10">
        <f>E11*(1+F11)</f>
        <v>1.05</v>
      </c>
      <c r="H11" s="1" t="s">
        <v>18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5">
        <f t="shared" ref="P11:P16" si="0">O11</f>
        <v>0</v>
      </c>
      <c r="Q11" s="37"/>
    </row>
    <row r="12" spans="1:17" ht="15.6">
      <c r="A12" s="36">
        <f>IF(G12&lt;&gt;"",1+MAX($A$1:A11),"")</f>
        <v>3</v>
      </c>
      <c r="B12" s="6"/>
      <c r="C12" s="7"/>
      <c r="D12" s="2" t="s">
        <v>20</v>
      </c>
      <c r="E12" s="8">
        <v>1</v>
      </c>
      <c r="F12" s="9">
        <v>0.05</v>
      </c>
      <c r="G12" s="10">
        <f t="shared" ref="G12:G14" si="1">E12*(1+F12)</f>
        <v>1.05</v>
      </c>
      <c r="H12" s="1" t="s">
        <v>18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5">
        <f t="shared" si="0"/>
        <v>0</v>
      </c>
      <c r="Q12" s="37"/>
    </row>
    <row r="13" spans="1:17" ht="15.6">
      <c r="A13" s="36">
        <f>IF(G13&lt;&gt;"",1+MAX($A$1:A12),"")</f>
        <v>4</v>
      </c>
      <c r="B13" s="6"/>
      <c r="C13" s="7"/>
      <c r="D13" s="2" t="s">
        <v>21</v>
      </c>
      <c r="E13" s="8">
        <v>1</v>
      </c>
      <c r="F13" s="9">
        <v>0.05</v>
      </c>
      <c r="G13" s="10">
        <f t="shared" si="1"/>
        <v>1.05</v>
      </c>
      <c r="H13" s="1" t="s">
        <v>18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5">
        <f t="shared" si="0"/>
        <v>0</v>
      </c>
      <c r="Q13" s="37"/>
    </row>
    <row r="14" spans="1:17" ht="15.6">
      <c r="A14" s="36">
        <f>IF(G14&lt;&gt;"",1+MAX($A$1:A13),"")</f>
        <v>5</v>
      </c>
      <c r="B14" s="6"/>
      <c r="C14" s="1"/>
      <c r="D14" s="2" t="s">
        <v>22</v>
      </c>
      <c r="E14" s="8">
        <v>1</v>
      </c>
      <c r="F14" s="9">
        <v>0.05</v>
      </c>
      <c r="G14" s="10">
        <f t="shared" si="1"/>
        <v>1.05</v>
      </c>
      <c r="H14" s="1" t="s">
        <v>18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">
        <f t="shared" si="0"/>
        <v>0</v>
      </c>
      <c r="Q14" s="37"/>
    </row>
    <row r="15" spans="1:17" ht="15.6">
      <c r="A15" s="36">
        <f>IF(G15&lt;&gt;"",1+MAX($A$1:A14),"")</f>
        <v>6</v>
      </c>
      <c r="B15" s="6"/>
      <c r="C15" s="1"/>
      <c r="D15" s="2" t="s">
        <v>23</v>
      </c>
      <c r="E15" s="8">
        <v>1</v>
      </c>
      <c r="F15" s="9">
        <v>0.05</v>
      </c>
      <c r="G15" s="10">
        <f t="shared" ref="G15:G16" si="2">E15*(1+F15)</f>
        <v>1.05</v>
      </c>
      <c r="H15" s="1" t="s">
        <v>18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0</v>
      </c>
      <c r="Q15" s="37"/>
    </row>
    <row r="16" spans="1:17" ht="15.6">
      <c r="A16" s="36">
        <f>IF(G16&lt;&gt;"",1+MAX($A$1:A15),"")</f>
        <v>7</v>
      </c>
      <c r="B16" s="6"/>
      <c r="C16" s="1"/>
      <c r="D16" s="2" t="s">
        <v>24</v>
      </c>
      <c r="E16" s="8">
        <v>1</v>
      </c>
      <c r="F16" s="9">
        <v>0.05</v>
      </c>
      <c r="G16" s="10">
        <f t="shared" si="2"/>
        <v>1.05</v>
      </c>
      <c r="H16" s="1" t="s">
        <v>18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0</v>
      </c>
      <c r="Q16" s="37"/>
    </row>
    <row r="17" spans="1:36" ht="16.2" thickBot="1">
      <c r="A17" s="36" t="str">
        <f>IF(G17&lt;&gt;"",1+MAX($A$1:A16),"")</f>
        <v/>
      </c>
      <c r="B17" s="6"/>
      <c r="C17" s="1"/>
      <c r="D17" s="41"/>
      <c r="E17" s="42"/>
      <c r="F17" s="43"/>
      <c r="G17" s="44"/>
      <c r="H17" s="45"/>
      <c r="I17" s="46"/>
      <c r="J17" s="47"/>
      <c r="K17" s="48"/>
      <c r="L17" s="49"/>
      <c r="M17" s="49"/>
      <c r="N17" s="49"/>
      <c r="O17" s="49"/>
      <c r="P17" s="50"/>
      <c r="Q17" s="51"/>
    </row>
    <row r="18" spans="1:36" ht="17.25" customHeight="1" thickBot="1">
      <c r="A18" s="36" t="str">
        <f>IF(G18&lt;&gt;"",1+MAX($A$1:A17),"")</f>
        <v/>
      </c>
      <c r="B18" s="6"/>
      <c r="C18" s="40"/>
      <c r="D18" s="52" t="s">
        <v>25</v>
      </c>
      <c r="E18" s="53"/>
      <c r="F18" s="54" t="s">
        <v>26</v>
      </c>
      <c r="G18" s="55"/>
      <c r="H18" s="53"/>
      <c r="I18" s="53"/>
      <c r="J18" s="53"/>
      <c r="K18" s="53"/>
      <c r="L18" s="56"/>
      <c r="M18" s="56"/>
      <c r="N18" s="56"/>
      <c r="O18" s="56"/>
      <c r="P18" s="56"/>
      <c r="Q18" s="57">
        <f>+SUM(P10:P16)</f>
        <v>0</v>
      </c>
    </row>
    <row r="19" spans="1:36" s="102" customFormat="1" ht="18" customHeight="1">
      <c r="A19" s="97" t="str">
        <f>IF(G19&lt;&gt;"",1+MAX($A$1:A18),"")</f>
        <v/>
      </c>
      <c r="B19" s="98"/>
      <c r="C19" s="99">
        <v>3</v>
      </c>
      <c r="D19" s="100" t="s">
        <v>27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01"/>
    </row>
    <row r="20" spans="1:36" ht="14.7" customHeight="1">
      <c r="A20" s="36" t="str">
        <f>IF(G20&lt;&gt;"",1+MAX($A$1:A19),"")</f>
        <v/>
      </c>
      <c r="B20" s="20"/>
      <c r="C20" s="21"/>
      <c r="D20" s="22" t="s">
        <v>42</v>
      </c>
      <c r="E20" s="8"/>
      <c r="F20" s="23"/>
      <c r="G20" s="23"/>
      <c r="H20" s="23"/>
      <c r="L20" s="14"/>
      <c r="M20" s="14"/>
      <c r="N20" s="14"/>
      <c r="O20" s="14"/>
      <c r="P20" s="15"/>
      <c r="Q20" s="31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ht="17.399999999999999" customHeight="1">
      <c r="A21" s="36">
        <f>IF(G21&lt;&gt;"",1+MAX($A$1:A20),"")</f>
        <v>8</v>
      </c>
      <c r="B21" s="78" t="s">
        <v>186</v>
      </c>
      <c r="C21" s="21"/>
      <c r="D21" s="58" t="s">
        <v>56</v>
      </c>
      <c r="E21" s="8">
        <f>4*5*5*1.5/27</f>
        <v>5.5555555555555554</v>
      </c>
      <c r="F21" s="9">
        <v>0.1</v>
      </c>
      <c r="G21" s="10">
        <f t="shared" ref="G21:G23" si="3">E21*(1+F21)</f>
        <v>6.1111111111111116</v>
      </c>
      <c r="H21" s="4" t="s">
        <v>30</v>
      </c>
      <c r="I21" s="11">
        <v>0</v>
      </c>
      <c r="J21" s="12">
        <f t="shared" ref="J21" si="4">+I21*G21</f>
        <v>0</v>
      </c>
      <c r="K21" s="13">
        <v>0</v>
      </c>
      <c r="L21" s="14">
        <f t="shared" ref="L21" si="5">K21*J21</f>
        <v>0</v>
      </c>
      <c r="M21" s="14">
        <f t="shared" ref="M21" si="6">N21*G21</f>
        <v>0</v>
      </c>
      <c r="N21" s="14">
        <v>0</v>
      </c>
      <c r="O21" s="14">
        <f>(I21*K21)+N21</f>
        <v>0</v>
      </c>
      <c r="P21" s="15">
        <f>O21*G21</f>
        <v>0</v>
      </c>
      <c r="Q21" s="37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ht="28.8">
      <c r="A22" s="36">
        <f>IF(G22&lt;&gt;"",1+MAX($A$1:A21),"")</f>
        <v>9</v>
      </c>
      <c r="B22" s="79"/>
      <c r="C22" s="1"/>
      <c r="D22" s="59" t="s">
        <v>43</v>
      </c>
      <c r="E22" s="8">
        <f>1.043*480</f>
        <v>500.64</v>
      </c>
      <c r="F22" s="9">
        <v>0.05</v>
      </c>
      <c r="G22" s="10">
        <f t="shared" si="3"/>
        <v>525.67200000000003</v>
      </c>
      <c r="H22" s="4" t="s">
        <v>35</v>
      </c>
      <c r="I22" s="11">
        <v>0</v>
      </c>
      <c r="J22" s="12">
        <f t="shared" ref="J22:J25" si="7">+I22*G22</f>
        <v>0</v>
      </c>
      <c r="K22" s="13">
        <v>0</v>
      </c>
      <c r="L22" s="14">
        <f t="shared" ref="L22:L25" si="8">K22*J22</f>
        <v>0</v>
      </c>
      <c r="M22" s="14">
        <f t="shared" ref="M22:M25" si="9">N22*G22</f>
        <v>0</v>
      </c>
      <c r="N22" s="14">
        <v>0</v>
      </c>
      <c r="O22" s="14">
        <f>(I22*K22)+N22</f>
        <v>0</v>
      </c>
      <c r="P22" s="15">
        <f>O22*G22</f>
        <v>0</v>
      </c>
      <c r="Q22" s="37"/>
    </row>
    <row r="23" spans="1:36" ht="15.6">
      <c r="A23" s="36">
        <f>IF(G23&lt;&gt;"",1+MAX($A$1:A22),"")</f>
        <v>10</v>
      </c>
      <c r="B23" s="79"/>
      <c r="C23" s="1"/>
      <c r="D23" s="58" t="s">
        <v>31</v>
      </c>
      <c r="E23" s="8">
        <f>4*5*4*1.5</f>
        <v>120</v>
      </c>
      <c r="F23" s="9">
        <v>0.1</v>
      </c>
      <c r="G23" s="10">
        <f t="shared" si="3"/>
        <v>132</v>
      </c>
      <c r="H23" s="4" t="s">
        <v>32</v>
      </c>
      <c r="I23" s="11">
        <v>0</v>
      </c>
      <c r="J23" s="12">
        <f t="shared" si="7"/>
        <v>0</v>
      </c>
      <c r="K23" s="13">
        <v>0</v>
      </c>
      <c r="L23" s="14">
        <f t="shared" si="8"/>
        <v>0</v>
      </c>
      <c r="M23" s="14">
        <f t="shared" si="9"/>
        <v>0</v>
      </c>
      <c r="N23" s="14">
        <v>0</v>
      </c>
      <c r="O23" s="14">
        <f>(I23*K23)+N23</f>
        <v>0</v>
      </c>
      <c r="P23" s="15">
        <f>O23*G23</f>
        <v>0</v>
      </c>
      <c r="Q23" s="37"/>
    </row>
    <row r="24" spans="1:36" ht="15.6">
      <c r="A24" s="36">
        <f>IF(G24&lt;&gt;"",1+MAX($A$1:A23),"")</f>
        <v>11</v>
      </c>
      <c r="B24" s="79"/>
      <c r="C24" s="1"/>
      <c r="D24" s="58" t="s">
        <v>44</v>
      </c>
      <c r="E24" s="8">
        <f>358.25/27</f>
        <v>13.268518518518519</v>
      </c>
      <c r="F24" s="9">
        <v>0.1</v>
      </c>
      <c r="G24" s="10">
        <f t="shared" ref="G24:G25" si="10">E24*(1+F24)</f>
        <v>14.595370370370372</v>
      </c>
      <c r="H24" s="4" t="s">
        <v>30</v>
      </c>
      <c r="I24" s="11">
        <v>0</v>
      </c>
      <c r="J24" s="12">
        <f t="shared" si="7"/>
        <v>0</v>
      </c>
      <c r="K24" s="13">
        <v>0</v>
      </c>
      <c r="L24" s="14">
        <f t="shared" si="8"/>
        <v>0</v>
      </c>
      <c r="M24" s="14">
        <f t="shared" si="9"/>
        <v>0</v>
      </c>
      <c r="N24" s="14">
        <v>0</v>
      </c>
      <c r="O24" s="14">
        <f>(I24*K24)+N24</f>
        <v>0</v>
      </c>
      <c r="P24" s="15">
        <f>O24*G24</f>
        <v>0</v>
      </c>
      <c r="Q24" s="37"/>
    </row>
    <row r="25" spans="1:36" ht="15.6">
      <c r="A25" s="36">
        <f>IF(G25&lt;&gt;"",1+MAX($A$1:A24),"")</f>
        <v>12</v>
      </c>
      <c r="B25" s="79"/>
      <c r="C25" s="21"/>
      <c r="D25" s="58" t="s">
        <v>45</v>
      </c>
      <c r="E25" s="8">
        <f>E24-E21</f>
        <v>7.7129629629629637</v>
      </c>
      <c r="F25" s="9">
        <v>0.1</v>
      </c>
      <c r="G25" s="10">
        <f t="shared" si="10"/>
        <v>8.4842592592592609</v>
      </c>
      <c r="H25" s="4" t="s">
        <v>30</v>
      </c>
      <c r="I25" s="11">
        <v>0</v>
      </c>
      <c r="J25" s="12">
        <f t="shared" si="7"/>
        <v>0</v>
      </c>
      <c r="K25" s="13">
        <v>0</v>
      </c>
      <c r="L25" s="14">
        <f t="shared" si="8"/>
        <v>0</v>
      </c>
      <c r="M25" s="14">
        <f t="shared" si="9"/>
        <v>0</v>
      </c>
      <c r="N25" s="14">
        <v>0</v>
      </c>
      <c r="O25" s="14">
        <f>(I25*K25)+N25</f>
        <v>0</v>
      </c>
      <c r="P25" s="15">
        <f>O25*G25</f>
        <v>0</v>
      </c>
      <c r="Q25" s="37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spans="1:36" ht="17.399999999999999" customHeight="1">
      <c r="A26" s="36" t="str">
        <f>IF(G26&lt;&gt;"",1+MAX($A$1:A25),"")</f>
        <v/>
      </c>
      <c r="B26" s="79"/>
      <c r="C26" s="21"/>
      <c r="D26" s="58"/>
      <c r="E26" s="8"/>
      <c r="F26" s="4"/>
      <c r="G26" s="4"/>
      <c r="H26" s="4"/>
      <c r="I26" s="11"/>
      <c r="J26" s="12"/>
      <c r="K26" s="13"/>
      <c r="L26" s="14"/>
      <c r="M26" s="14"/>
      <c r="N26" s="14"/>
      <c r="O26" s="14"/>
      <c r="P26" s="15"/>
      <c r="Q26" s="37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1:36" ht="15.6">
      <c r="A27" s="36">
        <f>IF(G27&lt;&gt;"",1+MAX($A$1:A26),"")</f>
        <v>13</v>
      </c>
      <c r="B27" s="79"/>
      <c r="C27" s="1"/>
      <c r="D27" s="58" t="s">
        <v>57</v>
      </c>
      <c r="E27" s="8">
        <f>22*6*6*1.5/27</f>
        <v>44</v>
      </c>
      <c r="F27" s="9">
        <v>0.1</v>
      </c>
      <c r="G27" s="10">
        <f t="shared" ref="G27:G28" si="11">E27*(1+F27)</f>
        <v>48.400000000000006</v>
      </c>
      <c r="H27" s="4" t="s">
        <v>30</v>
      </c>
      <c r="I27" s="11">
        <v>0</v>
      </c>
      <c r="J27" s="12">
        <f t="shared" ref="J27:J31" si="12">+I27*G27</f>
        <v>0</v>
      </c>
      <c r="K27" s="13">
        <v>0</v>
      </c>
      <c r="L27" s="14">
        <f t="shared" ref="L27:L31" si="13">K27*J27</f>
        <v>0</v>
      </c>
      <c r="M27" s="14">
        <f t="shared" ref="M27:M31" si="14">N27*G27</f>
        <v>0</v>
      </c>
      <c r="N27" s="14">
        <v>0</v>
      </c>
      <c r="O27" s="14">
        <f>(I27*K27)+N27</f>
        <v>0</v>
      </c>
      <c r="P27" s="15">
        <f>O27*G27</f>
        <v>0</v>
      </c>
      <c r="Q27" s="37"/>
    </row>
    <row r="28" spans="1:36" ht="28.8">
      <c r="A28" s="36">
        <f>IF(G28&lt;&gt;"",1+MAX($A$1:A27),"")</f>
        <v>14</v>
      </c>
      <c r="B28" s="79"/>
      <c r="C28" s="1"/>
      <c r="D28" s="59" t="s">
        <v>46</v>
      </c>
      <c r="E28" s="8">
        <f>1.043*3696</f>
        <v>3854.9279999999999</v>
      </c>
      <c r="F28" s="9">
        <v>0.05</v>
      </c>
      <c r="G28" s="10">
        <f t="shared" si="11"/>
        <v>4047.6743999999999</v>
      </c>
      <c r="H28" s="4" t="s">
        <v>35</v>
      </c>
      <c r="I28" s="11">
        <v>0</v>
      </c>
      <c r="J28" s="12">
        <f t="shared" si="12"/>
        <v>0</v>
      </c>
      <c r="K28" s="13">
        <v>0</v>
      </c>
      <c r="L28" s="14">
        <f t="shared" si="13"/>
        <v>0</v>
      </c>
      <c r="M28" s="14">
        <f t="shared" si="14"/>
        <v>0</v>
      </c>
      <c r="N28" s="14">
        <v>0</v>
      </c>
      <c r="O28" s="14">
        <f>(I28*K28)+N28</f>
        <v>0</v>
      </c>
      <c r="P28" s="15">
        <f>O28*G28</f>
        <v>0</v>
      </c>
      <c r="Q28" s="37"/>
    </row>
    <row r="29" spans="1:36" ht="15.6">
      <c r="A29" s="36">
        <f>IF(G29&lt;&gt;"",1+MAX($A$1:A28),"")</f>
        <v>15</v>
      </c>
      <c r="B29" s="79"/>
      <c r="C29" s="1"/>
      <c r="D29" s="58" t="s">
        <v>31</v>
      </c>
      <c r="E29" s="8">
        <f>22*6*4*1.5</f>
        <v>792</v>
      </c>
      <c r="F29" s="9">
        <v>0.1</v>
      </c>
      <c r="G29" s="10">
        <f t="shared" ref="G29" si="15">E29*(1+F29)</f>
        <v>871.2</v>
      </c>
      <c r="H29" s="4" t="s">
        <v>32</v>
      </c>
      <c r="I29" s="11">
        <v>0</v>
      </c>
      <c r="J29" s="12">
        <f t="shared" si="12"/>
        <v>0</v>
      </c>
      <c r="K29" s="13">
        <v>0</v>
      </c>
      <c r="L29" s="14">
        <f t="shared" si="13"/>
        <v>0</v>
      </c>
      <c r="M29" s="14">
        <f t="shared" si="14"/>
        <v>0</v>
      </c>
      <c r="N29" s="14">
        <v>0</v>
      </c>
      <c r="O29" s="14">
        <f>(I29*K29)+N29</f>
        <v>0</v>
      </c>
      <c r="P29" s="15">
        <f>O29*G29</f>
        <v>0</v>
      </c>
      <c r="Q29" s="37"/>
    </row>
    <row r="30" spans="1:36" ht="15.6">
      <c r="A30" s="36">
        <f>IF(G30&lt;&gt;"",1+MAX($A$1:A29),"")</f>
        <v>16</v>
      </c>
      <c r="B30" s="79"/>
      <c r="C30" s="1"/>
      <c r="D30" s="58" t="s">
        <v>44</v>
      </c>
      <c r="E30" s="8">
        <f>3542.4/27</f>
        <v>131.20000000000002</v>
      </c>
      <c r="F30" s="9">
        <v>0.1</v>
      </c>
      <c r="G30" s="10">
        <f t="shared" ref="G30:G31" si="16">E30*(1+F30)</f>
        <v>144.32000000000002</v>
      </c>
      <c r="H30" s="4" t="s">
        <v>30</v>
      </c>
      <c r="I30" s="11">
        <v>0</v>
      </c>
      <c r="J30" s="12">
        <f t="shared" si="12"/>
        <v>0</v>
      </c>
      <c r="K30" s="13">
        <v>0</v>
      </c>
      <c r="L30" s="14">
        <f t="shared" si="13"/>
        <v>0</v>
      </c>
      <c r="M30" s="14">
        <f t="shared" si="14"/>
        <v>0</v>
      </c>
      <c r="N30" s="14">
        <v>0</v>
      </c>
      <c r="O30" s="14">
        <f>(I30*K30)+N30</f>
        <v>0</v>
      </c>
      <c r="P30" s="15">
        <f>O30*G30</f>
        <v>0</v>
      </c>
      <c r="Q30" s="37"/>
    </row>
    <row r="31" spans="1:36" ht="15.6">
      <c r="A31" s="36">
        <f>IF(G31&lt;&gt;"",1+MAX($A$1:A30),"")</f>
        <v>17</v>
      </c>
      <c r="B31" s="79"/>
      <c r="C31" s="1"/>
      <c r="D31" s="58" t="s">
        <v>45</v>
      </c>
      <c r="E31" s="8">
        <f>E30-E27</f>
        <v>87.200000000000017</v>
      </c>
      <c r="F31" s="9">
        <v>0.1</v>
      </c>
      <c r="G31" s="10">
        <f t="shared" si="16"/>
        <v>95.92000000000003</v>
      </c>
      <c r="H31" s="4" t="s">
        <v>30</v>
      </c>
      <c r="I31" s="11">
        <v>0</v>
      </c>
      <c r="J31" s="12">
        <f t="shared" si="12"/>
        <v>0</v>
      </c>
      <c r="K31" s="13">
        <v>0</v>
      </c>
      <c r="L31" s="14">
        <f t="shared" si="13"/>
        <v>0</v>
      </c>
      <c r="M31" s="14">
        <f t="shared" si="14"/>
        <v>0</v>
      </c>
      <c r="N31" s="14">
        <v>0</v>
      </c>
      <c r="O31" s="14">
        <f>(I31*K31)+N31</f>
        <v>0</v>
      </c>
      <c r="P31" s="15">
        <f>O31*G31</f>
        <v>0</v>
      </c>
      <c r="Q31" s="37"/>
    </row>
    <row r="32" spans="1:36" ht="15.6">
      <c r="A32" s="36" t="str">
        <f>IF(G32&lt;&gt;"",1+MAX($A$1:A31),"")</f>
        <v/>
      </c>
      <c r="B32" s="79"/>
      <c r="C32" s="1"/>
      <c r="D32" s="58"/>
      <c r="E32" s="8"/>
      <c r="F32" s="4"/>
      <c r="G32" s="4"/>
      <c r="H32" s="4"/>
      <c r="I32" s="11"/>
      <c r="J32" s="12"/>
      <c r="K32" s="13"/>
      <c r="L32" s="14"/>
      <c r="M32" s="14"/>
      <c r="N32" s="14"/>
      <c r="O32" s="14"/>
      <c r="P32" s="15"/>
      <c r="Q32" s="37"/>
    </row>
    <row r="33" spans="1:17" ht="15.6">
      <c r="A33" s="36">
        <f>IF(G33&lt;&gt;"",1+MAX($A$1:A32),"")</f>
        <v>18</v>
      </c>
      <c r="B33" s="79"/>
      <c r="C33" s="1"/>
      <c r="D33" s="58" t="s">
        <v>58</v>
      </c>
      <c r="E33" s="8">
        <f>41*7*7*1.5/27</f>
        <v>111.61111111111111</v>
      </c>
      <c r="F33" s="9">
        <v>0.1</v>
      </c>
      <c r="G33" s="10">
        <f t="shared" ref="G33:G34" si="17">E33*(1+F33)</f>
        <v>122.77222222222224</v>
      </c>
      <c r="H33" s="4" t="s">
        <v>30</v>
      </c>
      <c r="I33" s="11">
        <v>0</v>
      </c>
      <c r="J33" s="12">
        <f t="shared" ref="J33:J37" si="18">+I33*G33</f>
        <v>0</v>
      </c>
      <c r="K33" s="13">
        <v>0</v>
      </c>
      <c r="L33" s="14">
        <f t="shared" ref="L33:L37" si="19">K33*J33</f>
        <v>0</v>
      </c>
      <c r="M33" s="14">
        <f t="shared" ref="M33:M37" si="20">N33*G33</f>
        <v>0</v>
      </c>
      <c r="N33" s="14">
        <v>0</v>
      </c>
      <c r="O33" s="14">
        <f>(I33*K33)+N33</f>
        <v>0</v>
      </c>
      <c r="P33" s="15">
        <f>O33*G33</f>
        <v>0</v>
      </c>
      <c r="Q33" s="37"/>
    </row>
    <row r="34" spans="1:17" ht="28.8">
      <c r="A34" s="36">
        <f>IF(G34&lt;&gt;"",1+MAX($A$1:A33),"")</f>
        <v>19</v>
      </c>
      <c r="B34" s="79"/>
      <c r="C34" s="1"/>
      <c r="D34" s="59" t="s">
        <v>47</v>
      </c>
      <c r="E34" s="8">
        <f>1.502*10332</f>
        <v>15518.664000000001</v>
      </c>
      <c r="F34" s="9">
        <v>0.05</v>
      </c>
      <c r="G34" s="10">
        <f t="shared" si="17"/>
        <v>16294.597200000002</v>
      </c>
      <c r="H34" s="4" t="s">
        <v>35</v>
      </c>
      <c r="I34" s="11">
        <v>0</v>
      </c>
      <c r="J34" s="12">
        <f t="shared" si="18"/>
        <v>0</v>
      </c>
      <c r="K34" s="13">
        <v>0</v>
      </c>
      <c r="L34" s="14">
        <f t="shared" si="19"/>
        <v>0</v>
      </c>
      <c r="M34" s="14">
        <f t="shared" si="20"/>
        <v>0</v>
      </c>
      <c r="N34" s="14">
        <v>0</v>
      </c>
      <c r="O34" s="14">
        <f>(I34*K34)+N34</f>
        <v>0</v>
      </c>
      <c r="P34" s="15">
        <f>O34*G34</f>
        <v>0</v>
      </c>
      <c r="Q34" s="37"/>
    </row>
    <row r="35" spans="1:17" ht="15.6">
      <c r="A35" s="36">
        <f>IF(G35&lt;&gt;"",1+MAX($A$1:A34),"")</f>
        <v>20</v>
      </c>
      <c r="B35" s="79"/>
      <c r="C35" s="1"/>
      <c r="D35" s="58" t="s">
        <v>31</v>
      </c>
      <c r="E35" s="8">
        <f>41*7*4*1.5</f>
        <v>1722</v>
      </c>
      <c r="F35" s="9">
        <v>0.1</v>
      </c>
      <c r="G35" s="10">
        <f t="shared" ref="G35" si="21">E35*(1+F35)</f>
        <v>1894.2</v>
      </c>
      <c r="H35" s="4" t="s">
        <v>32</v>
      </c>
      <c r="I35" s="11">
        <v>0</v>
      </c>
      <c r="J35" s="12">
        <f t="shared" si="18"/>
        <v>0</v>
      </c>
      <c r="K35" s="13">
        <v>0</v>
      </c>
      <c r="L35" s="14">
        <f t="shared" si="19"/>
        <v>0</v>
      </c>
      <c r="M35" s="14">
        <f t="shared" si="20"/>
        <v>0</v>
      </c>
      <c r="N35" s="14">
        <v>0</v>
      </c>
      <c r="O35" s="14">
        <f>(I35*K35)+N35</f>
        <v>0</v>
      </c>
      <c r="P35" s="15">
        <f>O35*G35</f>
        <v>0</v>
      </c>
      <c r="Q35" s="37"/>
    </row>
    <row r="36" spans="1:17" ht="15.6">
      <c r="A36" s="36">
        <f>IF(G36&lt;&gt;"",1+MAX($A$1:A35),"")</f>
        <v>21</v>
      </c>
      <c r="B36" s="79"/>
      <c r="C36" s="1"/>
      <c r="D36" s="58" t="s">
        <v>44</v>
      </c>
      <c r="E36" s="8">
        <f>9760.31/27</f>
        <v>361.49296296296296</v>
      </c>
      <c r="F36" s="9">
        <v>0.1</v>
      </c>
      <c r="G36" s="10">
        <f t="shared" ref="G36:G37" si="22">E36*(1+F36)</f>
        <v>397.64225925925928</v>
      </c>
      <c r="H36" s="4" t="s">
        <v>30</v>
      </c>
      <c r="I36" s="11">
        <v>0</v>
      </c>
      <c r="J36" s="12">
        <f t="shared" si="18"/>
        <v>0</v>
      </c>
      <c r="K36" s="13">
        <v>0</v>
      </c>
      <c r="L36" s="14">
        <f t="shared" si="19"/>
        <v>0</v>
      </c>
      <c r="M36" s="14">
        <f t="shared" si="20"/>
        <v>0</v>
      </c>
      <c r="N36" s="14">
        <v>0</v>
      </c>
      <c r="O36" s="14">
        <f>(I36*K36)+N36</f>
        <v>0</v>
      </c>
      <c r="P36" s="15">
        <f>O36*G36</f>
        <v>0</v>
      </c>
      <c r="Q36" s="37"/>
    </row>
    <row r="37" spans="1:17" ht="15.6">
      <c r="A37" s="36">
        <f>IF(G37&lt;&gt;"",1+MAX($A$1:A36),"")</f>
        <v>22</v>
      </c>
      <c r="B37" s="79"/>
      <c r="C37" s="1"/>
      <c r="D37" s="58" t="s">
        <v>45</v>
      </c>
      <c r="E37" s="8">
        <f>E36-E33</f>
        <v>249.88185185185185</v>
      </c>
      <c r="F37" s="9">
        <v>0.1</v>
      </c>
      <c r="G37" s="10">
        <f t="shared" si="22"/>
        <v>274.87003703703704</v>
      </c>
      <c r="H37" s="4" t="s">
        <v>30</v>
      </c>
      <c r="I37" s="11">
        <v>0</v>
      </c>
      <c r="J37" s="12">
        <f t="shared" si="18"/>
        <v>0</v>
      </c>
      <c r="K37" s="13">
        <v>0</v>
      </c>
      <c r="L37" s="14">
        <f t="shared" si="19"/>
        <v>0</v>
      </c>
      <c r="M37" s="14">
        <f t="shared" si="20"/>
        <v>0</v>
      </c>
      <c r="N37" s="14">
        <v>0</v>
      </c>
      <c r="O37" s="14">
        <f>(I37*K37)+N37</f>
        <v>0</v>
      </c>
      <c r="P37" s="15">
        <f>O37*G37</f>
        <v>0</v>
      </c>
      <c r="Q37" s="37"/>
    </row>
    <row r="38" spans="1:17" ht="15.6">
      <c r="A38" s="36" t="str">
        <f>IF(G38&lt;&gt;"",1+MAX($A$1:A37),"")</f>
        <v/>
      </c>
      <c r="B38" s="79"/>
      <c r="C38" s="1"/>
      <c r="D38" s="58"/>
      <c r="E38" s="8"/>
      <c r="F38" s="4"/>
      <c r="G38" s="4"/>
      <c r="H38" s="4"/>
      <c r="I38" s="11"/>
      <c r="J38" s="12"/>
      <c r="K38" s="13"/>
      <c r="L38" s="14"/>
      <c r="M38" s="14"/>
      <c r="N38" s="14"/>
      <c r="O38" s="14"/>
      <c r="P38" s="15"/>
      <c r="Q38" s="37"/>
    </row>
    <row r="39" spans="1:17" ht="15.6">
      <c r="A39" s="36">
        <f>IF(G39&lt;&gt;"",1+MAX($A$1:A38),"")</f>
        <v>23</v>
      </c>
      <c r="B39" s="79"/>
      <c r="C39" s="1"/>
      <c r="D39" s="58" t="s">
        <v>59</v>
      </c>
      <c r="E39" s="8">
        <f>30*8*8*1.5/27</f>
        <v>106.66666666666667</v>
      </c>
      <c r="F39" s="9">
        <v>0.1</v>
      </c>
      <c r="G39" s="10">
        <f t="shared" ref="G39:G40" si="23">E39*(1+F39)</f>
        <v>117.33333333333334</v>
      </c>
      <c r="H39" s="4" t="s">
        <v>30</v>
      </c>
      <c r="I39" s="11">
        <v>0</v>
      </c>
      <c r="J39" s="12">
        <f t="shared" ref="J39:J43" si="24">+I39*G39</f>
        <v>0</v>
      </c>
      <c r="K39" s="13">
        <v>0</v>
      </c>
      <c r="L39" s="14">
        <f t="shared" ref="L39:L43" si="25">K39*J39</f>
        <v>0</v>
      </c>
      <c r="M39" s="14">
        <f t="shared" ref="M39:M43" si="26">N39*G39</f>
        <v>0</v>
      </c>
      <c r="N39" s="14">
        <v>0</v>
      </c>
      <c r="O39" s="14">
        <f>(I39*K39)+N39</f>
        <v>0</v>
      </c>
      <c r="P39" s="15">
        <f>O39*G39</f>
        <v>0</v>
      </c>
      <c r="Q39" s="37"/>
    </row>
    <row r="40" spans="1:17" ht="28.8">
      <c r="A40" s="36">
        <f>IF(G40&lt;&gt;"",1+MAX($A$1:A39),"")</f>
        <v>24</v>
      </c>
      <c r="B40" s="79"/>
      <c r="C40" s="1"/>
      <c r="D40" s="59" t="s">
        <v>48</v>
      </c>
      <c r="E40" s="8">
        <f>2.04*8640</f>
        <v>17625.599999999999</v>
      </c>
      <c r="F40" s="9">
        <v>0.05</v>
      </c>
      <c r="G40" s="10">
        <f t="shared" si="23"/>
        <v>18506.88</v>
      </c>
      <c r="H40" s="4" t="s">
        <v>35</v>
      </c>
      <c r="I40" s="11">
        <v>0</v>
      </c>
      <c r="J40" s="12">
        <f t="shared" si="24"/>
        <v>0</v>
      </c>
      <c r="K40" s="13">
        <v>0</v>
      </c>
      <c r="L40" s="14">
        <f t="shared" si="25"/>
        <v>0</v>
      </c>
      <c r="M40" s="14">
        <f t="shared" si="26"/>
        <v>0</v>
      </c>
      <c r="N40" s="14">
        <v>0</v>
      </c>
      <c r="O40" s="14">
        <f>(I40*K40)+N40</f>
        <v>0</v>
      </c>
      <c r="P40" s="15">
        <f>O40*G40</f>
        <v>0</v>
      </c>
      <c r="Q40" s="37"/>
    </row>
    <row r="41" spans="1:17" ht="15.6">
      <c r="A41" s="36">
        <f>IF(G41&lt;&gt;"",1+MAX($A$1:A40),"")</f>
        <v>25</v>
      </c>
      <c r="B41" s="79"/>
      <c r="C41" s="1"/>
      <c r="D41" s="58" t="s">
        <v>31</v>
      </c>
      <c r="E41" s="8">
        <f>30*8*4*1.5</f>
        <v>1440</v>
      </c>
      <c r="F41" s="9">
        <v>0.1</v>
      </c>
      <c r="G41" s="10">
        <f t="shared" ref="G41" si="27">E41*(1+F41)</f>
        <v>1584.0000000000002</v>
      </c>
      <c r="H41" s="4" t="s">
        <v>32</v>
      </c>
      <c r="I41" s="11">
        <v>0</v>
      </c>
      <c r="J41" s="12">
        <f t="shared" si="24"/>
        <v>0</v>
      </c>
      <c r="K41" s="13">
        <v>0</v>
      </c>
      <c r="L41" s="14">
        <f t="shared" si="25"/>
        <v>0</v>
      </c>
      <c r="M41" s="14">
        <f t="shared" si="26"/>
        <v>0</v>
      </c>
      <c r="N41" s="14">
        <v>0</v>
      </c>
      <c r="O41" s="14">
        <f>(I41*K41)+N41</f>
        <v>0</v>
      </c>
      <c r="P41" s="15">
        <f>O41*G41</f>
        <v>0</v>
      </c>
      <c r="Q41" s="37"/>
    </row>
    <row r="42" spans="1:17" ht="15.6">
      <c r="A42" s="36">
        <f>IF(G42&lt;&gt;"",1+MAX($A$1:A41),"")</f>
        <v>26</v>
      </c>
      <c r="B42" s="79"/>
      <c r="C42" s="1"/>
      <c r="D42" s="58" t="s">
        <v>44</v>
      </c>
      <c r="E42" s="8">
        <f>7701.12/27</f>
        <v>285.22666666666669</v>
      </c>
      <c r="F42" s="9">
        <v>0.1</v>
      </c>
      <c r="G42" s="10">
        <f t="shared" ref="G42:G43" si="28">E42*(1+F42)</f>
        <v>313.74933333333337</v>
      </c>
      <c r="H42" s="4" t="s">
        <v>30</v>
      </c>
      <c r="I42" s="11">
        <v>0</v>
      </c>
      <c r="J42" s="12">
        <f t="shared" si="24"/>
        <v>0</v>
      </c>
      <c r="K42" s="13">
        <v>0</v>
      </c>
      <c r="L42" s="14">
        <f t="shared" si="25"/>
        <v>0</v>
      </c>
      <c r="M42" s="14">
        <f t="shared" si="26"/>
        <v>0</v>
      </c>
      <c r="N42" s="14">
        <v>0</v>
      </c>
      <c r="O42" s="14">
        <f>(I42*K42)+N42</f>
        <v>0</v>
      </c>
      <c r="P42" s="15">
        <f>O42*G42</f>
        <v>0</v>
      </c>
      <c r="Q42" s="37"/>
    </row>
    <row r="43" spans="1:17" ht="15.6">
      <c r="A43" s="36">
        <f>IF(G43&lt;&gt;"",1+MAX($A$1:A42),"")</f>
        <v>27</v>
      </c>
      <c r="B43" s="79"/>
      <c r="C43" s="1"/>
      <c r="D43" s="58" t="s">
        <v>45</v>
      </c>
      <c r="E43" s="8">
        <f>E42-E39</f>
        <v>178.56</v>
      </c>
      <c r="F43" s="9">
        <v>0.1</v>
      </c>
      <c r="G43" s="10">
        <f t="shared" si="28"/>
        <v>196.41600000000003</v>
      </c>
      <c r="H43" s="4" t="s">
        <v>30</v>
      </c>
      <c r="I43" s="11">
        <v>0</v>
      </c>
      <c r="J43" s="12">
        <f t="shared" si="24"/>
        <v>0</v>
      </c>
      <c r="K43" s="13">
        <v>0</v>
      </c>
      <c r="L43" s="14">
        <f t="shared" si="25"/>
        <v>0</v>
      </c>
      <c r="M43" s="14">
        <f t="shared" si="26"/>
        <v>0</v>
      </c>
      <c r="N43" s="14">
        <v>0</v>
      </c>
      <c r="O43" s="14">
        <f>(I43*K43)+N43</f>
        <v>0</v>
      </c>
      <c r="P43" s="15">
        <f>O43*G43</f>
        <v>0</v>
      </c>
      <c r="Q43" s="37"/>
    </row>
    <row r="44" spans="1:17" ht="15.6">
      <c r="A44" s="36" t="str">
        <f>IF(G44&lt;&gt;"",1+MAX($A$1:A43),"")</f>
        <v/>
      </c>
      <c r="B44" s="79"/>
      <c r="C44" s="1"/>
      <c r="D44" s="58"/>
      <c r="E44" s="8"/>
      <c r="F44" s="4"/>
      <c r="G44" s="4"/>
      <c r="H44" s="4"/>
      <c r="I44" s="11"/>
      <c r="J44" s="12"/>
      <c r="K44" s="13"/>
      <c r="L44" s="14"/>
      <c r="M44" s="14"/>
      <c r="N44" s="14"/>
      <c r="O44" s="14"/>
      <c r="P44" s="15"/>
      <c r="Q44" s="37"/>
    </row>
    <row r="45" spans="1:17" ht="15.6">
      <c r="A45" s="36">
        <f>IF(G45&lt;&gt;"",1+MAX($A$1:A44),"")</f>
        <v>28</v>
      </c>
      <c r="B45" s="79"/>
      <c r="C45" s="1"/>
      <c r="D45" s="58" t="s">
        <v>60</v>
      </c>
      <c r="E45" s="8">
        <f>24*9*9*1.5/27</f>
        <v>108</v>
      </c>
      <c r="F45" s="9">
        <v>0.1</v>
      </c>
      <c r="G45" s="10">
        <f t="shared" ref="G45:G46" si="29">E45*(1+F45)</f>
        <v>118.80000000000001</v>
      </c>
      <c r="H45" s="4" t="s">
        <v>30</v>
      </c>
      <c r="I45" s="11">
        <v>0</v>
      </c>
      <c r="J45" s="12">
        <f t="shared" ref="J45:J49" si="30">+I45*G45</f>
        <v>0</v>
      </c>
      <c r="K45" s="13">
        <v>0</v>
      </c>
      <c r="L45" s="14">
        <f t="shared" ref="L45:L49" si="31">K45*J45</f>
        <v>0</v>
      </c>
      <c r="M45" s="14">
        <f t="shared" ref="M45:M49" si="32">N45*G45</f>
        <v>0</v>
      </c>
      <c r="N45" s="14">
        <v>0</v>
      </c>
      <c r="O45" s="14">
        <f>(I45*K45)+N45</f>
        <v>0</v>
      </c>
      <c r="P45" s="15">
        <f>O45*G45</f>
        <v>0</v>
      </c>
      <c r="Q45" s="37"/>
    </row>
    <row r="46" spans="1:17" ht="28.8">
      <c r="A46" s="36">
        <f>IF(G46&lt;&gt;"",1+MAX($A$1:A45),"")</f>
        <v>29</v>
      </c>
      <c r="B46" s="79"/>
      <c r="C46" s="1"/>
      <c r="D46" s="59" t="s">
        <v>49</v>
      </c>
      <c r="E46" s="8">
        <f>2.04*8640</f>
        <v>17625.599999999999</v>
      </c>
      <c r="F46" s="9">
        <v>0.05</v>
      </c>
      <c r="G46" s="10">
        <f t="shared" si="29"/>
        <v>18506.88</v>
      </c>
      <c r="H46" s="4" t="s">
        <v>35</v>
      </c>
      <c r="I46" s="11">
        <v>0</v>
      </c>
      <c r="J46" s="12">
        <f t="shared" si="30"/>
        <v>0</v>
      </c>
      <c r="K46" s="13">
        <v>0</v>
      </c>
      <c r="L46" s="14">
        <f t="shared" si="31"/>
        <v>0</v>
      </c>
      <c r="M46" s="14">
        <f t="shared" si="32"/>
        <v>0</v>
      </c>
      <c r="N46" s="14">
        <v>0</v>
      </c>
      <c r="O46" s="14">
        <f>(I46*K46)+N46</f>
        <v>0</v>
      </c>
      <c r="P46" s="15">
        <f>O46*G46</f>
        <v>0</v>
      </c>
      <c r="Q46" s="37"/>
    </row>
    <row r="47" spans="1:17" ht="15.6">
      <c r="A47" s="36">
        <f>IF(G47&lt;&gt;"",1+MAX($A$1:A46),"")</f>
        <v>30</v>
      </c>
      <c r="B47" s="79"/>
      <c r="C47" s="1"/>
      <c r="D47" s="58" t="s">
        <v>31</v>
      </c>
      <c r="E47" s="8">
        <f>24*9*4*1.5</f>
        <v>1296</v>
      </c>
      <c r="F47" s="9">
        <v>0.1</v>
      </c>
      <c r="G47" s="10">
        <f t="shared" ref="G47" si="33">E47*(1+F47)</f>
        <v>1425.6000000000001</v>
      </c>
      <c r="H47" s="4" t="s">
        <v>32</v>
      </c>
      <c r="I47" s="11">
        <v>0</v>
      </c>
      <c r="J47" s="12">
        <f t="shared" si="30"/>
        <v>0</v>
      </c>
      <c r="K47" s="13">
        <v>0</v>
      </c>
      <c r="L47" s="14">
        <f t="shared" si="31"/>
        <v>0</v>
      </c>
      <c r="M47" s="14">
        <f t="shared" si="32"/>
        <v>0</v>
      </c>
      <c r="N47" s="14">
        <v>0</v>
      </c>
      <c r="O47" s="14">
        <f>(I47*K47)+N47</f>
        <v>0</v>
      </c>
      <c r="P47" s="15">
        <f>O47*G47</f>
        <v>0</v>
      </c>
      <c r="Q47" s="37"/>
    </row>
    <row r="48" spans="1:17" ht="15.6">
      <c r="A48" s="36">
        <f>IF(G48&lt;&gt;"",1+MAX($A$1:A47),"")</f>
        <v>31</v>
      </c>
      <c r="B48" s="79"/>
      <c r="C48" s="1"/>
      <c r="D48" s="58" t="s">
        <v>44</v>
      </c>
      <c r="E48" s="8">
        <f>6966/27</f>
        <v>258</v>
      </c>
      <c r="F48" s="9">
        <v>0.1</v>
      </c>
      <c r="G48" s="10">
        <f t="shared" ref="G48:G49" si="34">E48*(1+F48)</f>
        <v>283.8</v>
      </c>
      <c r="H48" s="4" t="s">
        <v>30</v>
      </c>
      <c r="I48" s="11">
        <v>0</v>
      </c>
      <c r="J48" s="12">
        <f t="shared" si="30"/>
        <v>0</v>
      </c>
      <c r="K48" s="13">
        <v>0</v>
      </c>
      <c r="L48" s="14">
        <f t="shared" si="31"/>
        <v>0</v>
      </c>
      <c r="M48" s="14">
        <f t="shared" si="32"/>
        <v>0</v>
      </c>
      <c r="N48" s="14">
        <v>0</v>
      </c>
      <c r="O48" s="14">
        <f>(I48*K48)+N48</f>
        <v>0</v>
      </c>
      <c r="P48" s="15">
        <f>O48*G48</f>
        <v>0</v>
      </c>
      <c r="Q48" s="37"/>
    </row>
    <row r="49" spans="1:17" ht="15.6">
      <c r="A49" s="36">
        <f>IF(G49&lt;&gt;"",1+MAX($A$1:A48),"")</f>
        <v>32</v>
      </c>
      <c r="B49" s="79"/>
      <c r="C49" s="1"/>
      <c r="D49" s="58" t="s">
        <v>45</v>
      </c>
      <c r="E49" s="8">
        <f>E48-E45</f>
        <v>150</v>
      </c>
      <c r="F49" s="9">
        <v>0.1</v>
      </c>
      <c r="G49" s="10">
        <f t="shared" si="34"/>
        <v>165</v>
      </c>
      <c r="H49" s="4" t="s">
        <v>30</v>
      </c>
      <c r="I49" s="11">
        <v>0</v>
      </c>
      <c r="J49" s="12">
        <f t="shared" si="30"/>
        <v>0</v>
      </c>
      <c r="K49" s="13">
        <v>0</v>
      </c>
      <c r="L49" s="14">
        <f t="shared" si="31"/>
        <v>0</v>
      </c>
      <c r="M49" s="14">
        <f t="shared" si="32"/>
        <v>0</v>
      </c>
      <c r="N49" s="14">
        <v>0</v>
      </c>
      <c r="O49" s="14">
        <f>(I49*K49)+N49</f>
        <v>0</v>
      </c>
      <c r="P49" s="15">
        <f>O49*G49</f>
        <v>0</v>
      </c>
      <c r="Q49" s="37"/>
    </row>
    <row r="50" spans="1:17" ht="15.6">
      <c r="A50" s="36" t="str">
        <f>IF(G50&lt;&gt;"",1+MAX($A$1:A49),"")</f>
        <v/>
      </c>
      <c r="B50" s="79"/>
      <c r="C50" s="1"/>
      <c r="D50" s="58"/>
      <c r="E50" s="8"/>
      <c r="F50" s="4"/>
      <c r="G50" s="4"/>
      <c r="H50" s="4"/>
      <c r="I50" s="11"/>
      <c r="J50" s="12"/>
      <c r="K50" s="13"/>
      <c r="L50" s="14"/>
      <c r="M50" s="14"/>
      <c r="N50" s="14"/>
      <c r="O50" s="14"/>
      <c r="P50" s="15"/>
      <c r="Q50" s="37"/>
    </row>
    <row r="51" spans="1:17" ht="15.6">
      <c r="A51" s="36">
        <f>IF(G51&lt;&gt;"",1+MAX($A$1:A50),"")</f>
        <v>33</v>
      </c>
      <c r="B51" s="79"/>
      <c r="C51" s="1"/>
      <c r="D51" s="58" t="s">
        <v>61</v>
      </c>
      <c r="E51" s="8">
        <f>17*10*10*1.5/27</f>
        <v>94.444444444444443</v>
      </c>
      <c r="F51" s="9">
        <v>0.1</v>
      </c>
      <c r="G51" s="10">
        <f t="shared" ref="G51:G52" si="35">E51*(1+F51)</f>
        <v>103.8888888888889</v>
      </c>
      <c r="H51" s="4" t="s">
        <v>30</v>
      </c>
      <c r="I51" s="11">
        <v>0</v>
      </c>
      <c r="J51" s="12">
        <f t="shared" ref="J51:J55" si="36">+I51*G51</f>
        <v>0</v>
      </c>
      <c r="K51" s="13">
        <v>0</v>
      </c>
      <c r="L51" s="14">
        <f t="shared" ref="L51:L55" si="37">K51*J51</f>
        <v>0</v>
      </c>
      <c r="M51" s="14">
        <f t="shared" ref="M51:M55" si="38">N51*G51</f>
        <v>0</v>
      </c>
      <c r="N51" s="14">
        <v>0</v>
      </c>
      <c r="O51" s="14">
        <f>(I51*K51)+N51</f>
        <v>0</v>
      </c>
      <c r="P51" s="15">
        <f>O51*G51</f>
        <v>0</v>
      </c>
      <c r="Q51" s="37"/>
    </row>
    <row r="52" spans="1:17" ht="28.8">
      <c r="A52" s="36">
        <f>IF(G52&lt;&gt;"",1+MAX($A$1:A51),"")</f>
        <v>34</v>
      </c>
      <c r="B52" s="79"/>
      <c r="C52" s="1"/>
      <c r="D52" s="59" t="s">
        <v>50</v>
      </c>
      <c r="E52" s="8">
        <f>2.04*7480</f>
        <v>15259.2</v>
      </c>
      <c r="F52" s="9">
        <v>0.05</v>
      </c>
      <c r="G52" s="10">
        <f t="shared" si="35"/>
        <v>16022.160000000002</v>
      </c>
      <c r="H52" s="4" t="s">
        <v>35</v>
      </c>
      <c r="I52" s="11">
        <v>0</v>
      </c>
      <c r="J52" s="12">
        <f t="shared" si="36"/>
        <v>0</v>
      </c>
      <c r="K52" s="13">
        <v>0</v>
      </c>
      <c r="L52" s="14">
        <f t="shared" si="37"/>
        <v>0</v>
      </c>
      <c r="M52" s="14">
        <f t="shared" si="38"/>
        <v>0</v>
      </c>
      <c r="N52" s="14">
        <v>0</v>
      </c>
      <c r="O52" s="14">
        <f>(I52*K52)+N52</f>
        <v>0</v>
      </c>
      <c r="P52" s="15">
        <f>O52*G52</f>
        <v>0</v>
      </c>
      <c r="Q52" s="37"/>
    </row>
    <row r="53" spans="1:17" ht="15.6">
      <c r="A53" s="36">
        <f>IF(G53&lt;&gt;"",1+MAX($A$1:A52),"")</f>
        <v>35</v>
      </c>
      <c r="B53" s="79"/>
      <c r="C53" s="1"/>
      <c r="D53" s="58" t="s">
        <v>31</v>
      </c>
      <c r="E53" s="8">
        <f>17*10*4*1.5</f>
        <v>1020</v>
      </c>
      <c r="F53" s="9">
        <v>0.1</v>
      </c>
      <c r="G53" s="10">
        <f t="shared" ref="G53" si="39">E53*(1+F53)</f>
        <v>1122</v>
      </c>
      <c r="H53" s="4" t="s">
        <v>32</v>
      </c>
      <c r="I53" s="11">
        <v>0</v>
      </c>
      <c r="J53" s="12">
        <f t="shared" si="36"/>
        <v>0</v>
      </c>
      <c r="K53" s="13">
        <v>0</v>
      </c>
      <c r="L53" s="14">
        <f t="shared" si="37"/>
        <v>0</v>
      </c>
      <c r="M53" s="14">
        <f t="shared" si="38"/>
        <v>0</v>
      </c>
      <c r="N53" s="14">
        <v>0</v>
      </c>
      <c r="O53" s="14">
        <f>(I53*K53)+N53</f>
        <v>0</v>
      </c>
      <c r="P53" s="15">
        <f>O53*G53</f>
        <v>0</v>
      </c>
      <c r="Q53" s="37"/>
    </row>
    <row r="54" spans="1:17" ht="15.6">
      <c r="A54" s="36">
        <f>IF(G54&lt;&gt;"",1+MAX($A$1:A53),"")</f>
        <v>36</v>
      </c>
      <c r="B54" s="79"/>
      <c r="C54" s="1"/>
      <c r="D54" s="58" t="s">
        <v>44</v>
      </c>
      <c r="E54" s="8">
        <f>5551/27</f>
        <v>205.59259259259258</v>
      </c>
      <c r="F54" s="9">
        <v>0.1</v>
      </c>
      <c r="G54" s="10">
        <f t="shared" ref="G54:G55" si="40">E54*(1+F54)</f>
        <v>226.15185185185186</v>
      </c>
      <c r="H54" s="4" t="s">
        <v>30</v>
      </c>
      <c r="I54" s="11">
        <v>0</v>
      </c>
      <c r="J54" s="12">
        <f t="shared" si="36"/>
        <v>0</v>
      </c>
      <c r="K54" s="13">
        <v>0</v>
      </c>
      <c r="L54" s="14">
        <f t="shared" si="37"/>
        <v>0</v>
      </c>
      <c r="M54" s="14">
        <f t="shared" si="38"/>
        <v>0</v>
      </c>
      <c r="N54" s="14">
        <v>0</v>
      </c>
      <c r="O54" s="14">
        <f>(I54*K54)+N54</f>
        <v>0</v>
      </c>
      <c r="P54" s="15">
        <f>O54*G54</f>
        <v>0</v>
      </c>
      <c r="Q54" s="37"/>
    </row>
    <row r="55" spans="1:17" ht="15.6">
      <c r="A55" s="36">
        <f>IF(G55&lt;&gt;"",1+MAX($A$1:A54),"")</f>
        <v>37</v>
      </c>
      <c r="B55" s="79"/>
      <c r="C55" s="1"/>
      <c r="D55" s="58" t="s">
        <v>45</v>
      </c>
      <c r="E55" s="8">
        <f>E54-E51</f>
        <v>111.14814814814814</v>
      </c>
      <c r="F55" s="9">
        <v>0.1</v>
      </c>
      <c r="G55" s="10">
        <f t="shared" si="40"/>
        <v>122.26296296296296</v>
      </c>
      <c r="H55" s="4" t="s">
        <v>30</v>
      </c>
      <c r="I55" s="11">
        <v>0</v>
      </c>
      <c r="J55" s="12">
        <f t="shared" si="36"/>
        <v>0</v>
      </c>
      <c r="K55" s="13">
        <v>0</v>
      </c>
      <c r="L55" s="14">
        <f t="shared" si="37"/>
        <v>0</v>
      </c>
      <c r="M55" s="14">
        <f t="shared" si="38"/>
        <v>0</v>
      </c>
      <c r="N55" s="14">
        <v>0</v>
      </c>
      <c r="O55" s="14">
        <f>(I55*K55)+N55</f>
        <v>0</v>
      </c>
      <c r="P55" s="15">
        <f>O55*G55</f>
        <v>0</v>
      </c>
      <c r="Q55" s="37"/>
    </row>
    <row r="56" spans="1:17" ht="15.6">
      <c r="A56" s="36" t="str">
        <f>IF(G56&lt;&gt;"",1+MAX($A$1:A55),"")</f>
        <v/>
      </c>
      <c r="B56" s="79"/>
      <c r="C56" s="1"/>
      <c r="D56" s="58"/>
      <c r="E56" s="8"/>
      <c r="F56" s="4"/>
      <c r="G56" s="4"/>
      <c r="H56" s="4"/>
      <c r="I56" s="11"/>
      <c r="J56" s="12"/>
      <c r="K56" s="13"/>
      <c r="L56" s="14"/>
      <c r="M56" s="14"/>
      <c r="N56" s="14"/>
      <c r="O56" s="14"/>
      <c r="P56" s="15"/>
      <c r="Q56" s="37"/>
    </row>
    <row r="57" spans="1:17" ht="15.6">
      <c r="A57" s="36">
        <f>IF(G57&lt;&gt;"",1+MAX($A$1:A56),"")</f>
        <v>38</v>
      </c>
      <c r="B57" s="79"/>
      <c r="C57" s="1"/>
      <c r="D57" s="58" t="s">
        <v>62</v>
      </c>
      <c r="E57" s="8">
        <f>15*11*11*2/27</f>
        <v>134.44444444444446</v>
      </c>
      <c r="F57" s="9">
        <v>0.1</v>
      </c>
      <c r="G57" s="10">
        <f t="shared" ref="G57:G58" si="41">E57*(1+F57)</f>
        <v>147.88888888888891</v>
      </c>
      <c r="H57" s="4" t="s">
        <v>30</v>
      </c>
      <c r="I57" s="11">
        <v>0</v>
      </c>
      <c r="J57" s="12">
        <f t="shared" ref="J57:J61" si="42">+I57*G57</f>
        <v>0</v>
      </c>
      <c r="K57" s="13">
        <v>0</v>
      </c>
      <c r="L57" s="14">
        <f t="shared" ref="L57:L61" si="43">K57*J57</f>
        <v>0</v>
      </c>
      <c r="M57" s="14">
        <f t="shared" ref="M57:M61" si="44">N57*G57</f>
        <v>0</v>
      </c>
      <c r="N57" s="14">
        <v>0</v>
      </c>
      <c r="O57" s="14">
        <f>(I57*K57)+N57</f>
        <v>0</v>
      </c>
      <c r="P57" s="15">
        <f>O57*G57</f>
        <v>0</v>
      </c>
      <c r="Q57" s="37"/>
    </row>
    <row r="58" spans="1:17" ht="28.8">
      <c r="A58" s="36">
        <f>IF(G58&lt;&gt;"",1+MAX($A$1:A57),"")</f>
        <v>39</v>
      </c>
      <c r="B58" s="79"/>
      <c r="C58" s="1"/>
      <c r="D58" s="59" t="s">
        <v>51</v>
      </c>
      <c r="E58" s="8">
        <f>2.04*7920</f>
        <v>16156.800000000001</v>
      </c>
      <c r="F58" s="9">
        <v>0.05</v>
      </c>
      <c r="G58" s="10">
        <f t="shared" si="41"/>
        <v>16964.640000000003</v>
      </c>
      <c r="H58" s="4" t="s">
        <v>35</v>
      </c>
      <c r="I58" s="11">
        <v>0</v>
      </c>
      <c r="J58" s="12">
        <f t="shared" si="42"/>
        <v>0</v>
      </c>
      <c r="K58" s="13">
        <v>0</v>
      </c>
      <c r="L58" s="14">
        <f t="shared" si="43"/>
        <v>0</v>
      </c>
      <c r="M58" s="14">
        <f t="shared" si="44"/>
        <v>0</v>
      </c>
      <c r="N58" s="14">
        <v>0</v>
      </c>
      <c r="O58" s="14">
        <f>(I58*K58)+N58</f>
        <v>0</v>
      </c>
      <c r="P58" s="15">
        <f>O58*G58</f>
        <v>0</v>
      </c>
      <c r="Q58" s="37"/>
    </row>
    <row r="59" spans="1:17" ht="15.6">
      <c r="A59" s="36">
        <f>IF(G59&lt;&gt;"",1+MAX($A$1:A58),"")</f>
        <v>40</v>
      </c>
      <c r="B59" s="79"/>
      <c r="C59" s="1"/>
      <c r="D59" s="58" t="s">
        <v>31</v>
      </c>
      <c r="E59" s="8">
        <f>15*11*4*2</f>
        <v>1320</v>
      </c>
      <c r="F59" s="9">
        <v>0.1</v>
      </c>
      <c r="G59" s="10">
        <f t="shared" ref="G59" si="45">E59*(1+F59)</f>
        <v>1452.0000000000002</v>
      </c>
      <c r="H59" s="4" t="s">
        <v>32</v>
      </c>
      <c r="I59" s="11">
        <v>0</v>
      </c>
      <c r="J59" s="12">
        <f t="shared" si="42"/>
        <v>0</v>
      </c>
      <c r="K59" s="13">
        <v>0</v>
      </c>
      <c r="L59" s="14">
        <f t="shared" si="43"/>
        <v>0</v>
      </c>
      <c r="M59" s="14">
        <f t="shared" si="44"/>
        <v>0</v>
      </c>
      <c r="N59" s="14">
        <v>0</v>
      </c>
      <c r="O59" s="14">
        <f>(I59*K59)+N59</f>
        <v>0</v>
      </c>
      <c r="P59" s="15">
        <f>O59*G59</f>
        <v>0</v>
      </c>
      <c r="Q59" s="37"/>
    </row>
    <row r="60" spans="1:17" ht="15.6">
      <c r="A60" s="36">
        <f>IF(G60&lt;&gt;"",1+MAX($A$1:A59),"")</f>
        <v>41</v>
      </c>
      <c r="B60" s="79"/>
      <c r="C60" s="1"/>
      <c r="D60" s="58" t="s">
        <v>44</v>
      </c>
      <c r="E60" s="8">
        <f>6859.49/27</f>
        <v>254.05518518518517</v>
      </c>
      <c r="F60" s="9">
        <v>0.1</v>
      </c>
      <c r="G60" s="10">
        <f t="shared" ref="G60:G61" si="46">E60*(1+F60)</f>
        <v>279.4607037037037</v>
      </c>
      <c r="H60" s="4" t="s">
        <v>30</v>
      </c>
      <c r="I60" s="11">
        <v>0</v>
      </c>
      <c r="J60" s="12">
        <f t="shared" si="42"/>
        <v>0</v>
      </c>
      <c r="K60" s="13">
        <v>0</v>
      </c>
      <c r="L60" s="14">
        <f t="shared" si="43"/>
        <v>0</v>
      </c>
      <c r="M60" s="14">
        <f t="shared" si="44"/>
        <v>0</v>
      </c>
      <c r="N60" s="14">
        <v>0</v>
      </c>
      <c r="O60" s="14">
        <f>(I60*K60)+N60</f>
        <v>0</v>
      </c>
      <c r="P60" s="15">
        <f>O60*G60</f>
        <v>0</v>
      </c>
      <c r="Q60" s="37"/>
    </row>
    <row r="61" spans="1:17" ht="15.6">
      <c r="A61" s="36">
        <f>IF(G61&lt;&gt;"",1+MAX($A$1:A60),"")</f>
        <v>42</v>
      </c>
      <c r="B61" s="79"/>
      <c r="C61" s="1"/>
      <c r="D61" s="58" t="s">
        <v>45</v>
      </c>
      <c r="E61" s="8">
        <f>E60-E57</f>
        <v>119.61074074074071</v>
      </c>
      <c r="F61" s="9">
        <v>0.1</v>
      </c>
      <c r="G61" s="10">
        <f t="shared" si="46"/>
        <v>131.57181481481479</v>
      </c>
      <c r="H61" s="4" t="s">
        <v>30</v>
      </c>
      <c r="I61" s="11">
        <v>0</v>
      </c>
      <c r="J61" s="12">
        <f t="shared" si="42"/>
        <v>0</v>
      </c>
      <c r="K61" s="13">
        <v>0</v>
      </c>
      <c r="L61" s="14">
        <f t="shared" si="43"/>
        <v>0</v>
      </c>
      <c r="M61" s="14">
        <f t="shared" si="44"/>
        <v>0</v>
      </c>
      <c r="N61" s="14">
        <v>0</v>
      </c>
      <c r="O61" s="14">
        <f>(I61*K61)+N61</f>
        <v>0</v>
      </c>
      <c r="P61" s="15">
        <f>O61*G61</f>
        <v>0</v>
      </c>
      <c r="Q61" s="37"/>
    </row>
    <row r="62" spans="1:17" ht="15.6">
      <c r="A62" s="36" t="str">
        <f>IF(G62&lt;&gt;"",1+MAX($A$1:A61),"")</f>
        <v/>
      </c>
      <c r="B62" s="79"/>
      <c r="C62" s="1"/>
      <c r="D62" s="58"/>
      <c r="E62" s="8"/>
      <c r="F62" s="4"/>
      <c r="G62" s="4"/>
      <c r="H62" s="4"/>
      <c r="I62" s="11"/>
      <c r="J62" s="12"/>
      <c r="K62" s="13"/>
      <c r="L62" s="14"/>
      <c r="M62" s="14"/>
      <c r="N62" s="14"/>
      <c r="O62" s="14"/>
      <c r="P62" s="15"/>
      <c r="Q62" s="37"/>
    </row>
    <row r="63" spans="1:17" ht="15.6">
      <c r="A63" s="36">
        <f>IF(G63&lt;&gt;"",1+MAX($A$1:A62),"")</f>
        <v>43</v>
      </c>
      <c r="B63" s="79"/>
      <c r="C63" s="1"/>
      <c r="D63" s="58" t="s">
        <v>63</v>
      </c>
      <c r="E63" s="8">
        <f>2*12*12*2/27</f>
        <v>21.333333333333332</v>
      </c>
      <c r="F63" s="9">
        <v>0.1</v>
      </c>
      <c r="G63" s="10">
        <f t="shared" ref="G63:G64" si="47">E63*(1+F63)</f>
        <v>23.466666666666669</v>
      </c>
      <c r="H63" s="4" t="s">
        <v>30</v>
      </c>
      <c r="I63" s="11">
        <v>0</v>
      </c>
      <c r="J63" s="12">
        <f t="shared" ref="J63:J67" si="48">+I63*G63</f>
        <v>0</v>
      </c>
      <c r="K63" s="13">
        <v>0</v>
      </c>
      <c r="L63" s="14">
        <f t="shared" ref="L63:L67" si="49">K63*J63</f>
        <v>0</v>
      </c>
      <c r="M63" s="14">
        <f t="shared" ref="M63:M67" si="50">N63*G63</f>
        <v>0</v>
      </c>
      <c r="N63" s="14">
        <v>0</v>
      </c>
      <c r="O63" s="14">
        <f>(I63*K63)+N63</f>
        <v>0</v>
      </c>
      <c r="P63" s="15">
        <f>O63*G63</f>
        <v>0</v>
      </c>
      <c r="Q63" s="37"/>
    </row>
    <row r="64" spans="1:17" ht="28.8">
      <c r="A64" s="36">
        <f>IF(G64&lt;&gt;"",1+MAX($A$1:A63),"")</f>
        <v>44</v>
      </c>
      <c r="B64" s="79"/>
      <c r="C64" s="1"/>
      <c r="D64" s="59" t="s">
        <v>52</v>
      </c>
      <c r="E64" s="8">
        <f>2.04*1248</f>
        <v>2545.92</v>
      </c>
      <c r="F64" s="9">
        <v>0.05</v>
      </c>
      <c r="G64" s="10">
        <f t="shared" si="47"/>
        <v>2673.2160000000003</v>
      </c>
      <c r="H64" s="4" t="s">
        <v>35</v>
      </c>
      <c r="I64" s="11">
        <v>0</v>
      </c>
      <c r="J64" s="12">
        <f t="shared" si="48"/>
        <v>0</v>
      </c>
      <c r="K64" s="13">
        <v>0</v>
      </c>
      <c r="L64" s="14">
        <f t="shared" si="49"/>
        <v>0</v>
      </c>
      <c r="M64" s="14">
        <f t="shared" si="50"/>
        <v>0</v>
      </c>
      <c r="N64" s="14">
        <v>0</v>
      </c>
      <c r="O64" s="14">
        <f>(I64*K64)+N64</f>
        <v>0</v>
      </c>
      <c r="P64" s="15">
        <f>O64*G64</f>
        <v>0</v>
      </c>
      <c r="Q64" s="37"/>
    </row>
    <row r="65" spans="1:17" ht="15.6">
      <c r="A65" s="36">
        <f>IF(G65&lt;&gt;"",1+MAX($A$1:A64),"")</f>
        <v>45</v>
      </c>
      <c r="B65" s="79"/>
      <c r="C65" s="1"/>
      <c r="D65" s="58" t="s">
        <v>31</v>
      </c>
      <c r="E65" s="8">
        <f>2*12*4*2</f>
        <v>192</v>
      </c>
      <c r="F65" s="9">
        <v>0.1</v>
      </c>
      <c r="G65" s="10">
        <f t="shared" ref="G65" si="51">E65*(1+F65)</f>
        <v>211.20000000000002</v>
      </c>
      <c r="H65" s="4" t="s">
        <v>32</v>
      </c>
      <c r="I65" s="11">
        <v>0</v>
      </c>
      <c r="J65" s="12">
        <f t="shared" si="48"/>
        <v>0</v>
      </c>
      <c r="K65" s="13">
        <v>0</v>
      </c>
      <c r="L65" s="14">
        <f t="shared" si="49"/>
        <v>0</v>
      </c>
      <c r="M65" s="14">
        <f t="shared" si="50"/>
        <v>0</v>
      </c>
      <c r="N65" s="14">
        <v>0</v>
      </c>
      <c r="O65" s="14">
        <f>(I65*K65)+N65</f>
        <v>0</v>
      </c>
      <c r="P65" s="15">
        <f>O65*G65</f>
        <v>0</v>
      </c>
      <c r="Q65" s="37"/>
    </row>
    <row r="66" spans="1:17" ht="15.6">
      <c r="A66" s="36">
        <f>IF(G66&lt;&gt;"",1+MAX($A$1:A65),"")</f>
        <v>46</v>
      </c>
      <c r="B66" s="79"/>
      <c r="C66" s="1"/>
      <c r="D66" s="58" t="s">
        <v>44</v>
      </c>
      <c r="E66" s="8">
        <f>1535.04/27</f>
        <v>56.853333333333332</v>
      </c>
      <c r="F66" s="9">
        <v>0.1</v>
      </c>
      <c r="G66" s="10">
        <f t="shared" ref="G66:G67" si="52">E66*(1+F66)</f>
        <v>62.538666666666671</v>
      </c>
      <c r="H66" s="4" t="s">
        <v>30</v>
      </c>
      <c r="I66" s="11">
        <v>0</v>
      </c>
      <c r="J66" s="12">
        <f t="shared" si="48"/>
        <v>0</v>
      </c>
      <c r="K66" s="13">
        <v>0</v>
      </c>
      <c r="L66" s="14">
        <f t="shared" si="49"/>
        <v>0</v>
      </c>
      <c r="M66" s="14">
        <f t="shared" si="50"/>
        <v>0</v>
      </c>
      <c r="N66" s="14">
        <v>0</v>
      </c>
      <c r="O66" s="14">
        <f>(I66*K66)+N66</f>
        <v>0</v>
      </c>
      <c r="P66" s="15">
        <f>O66*G66</f>
        <v>0</v>
      </c>
      <c r="Q66" s="37"/>
    </row>
    <row r="67" spans="1:17" ht="15.6">
      <c r="A67" s="36">
        <f>IF(G67&lt;&gt;"",1+MAX($A$1:A66),"")</f>
        <v>47</v>
      </c>
      <c r="B67" s="79"/>
      <c r="C67" s="1"/>
      <c r="D67" s="58" t="s">
        <v>45</v>
      </c>
      <c r="E67" s="8">
        <f>E66-E63</f>
        <v>35.519999999999996</v>
      </c>
      <c r="F67" s="9">
        <v>0.1</v>
      </c>
      <c r="G67" s="10">
        <f t="shared" si="52"/>
        <v>39.071999999999996</v>
      </c>
      <c r="H67" s="4" t="s">
        <v>30</v>
      </c>
      <c r="I67" s="11">
        <v>0</v>
      </c>
      <c r="J67" s="12">
        <f t="shared" si="48"/>
        <v>0</v>
      </c>
      <c r="K67" s="13">
        <v>0</v>
      </c>
      <c r="L67" s="14">
        <f t="shared" si="49"/>
        <v>0</v>
      </c>
      <c r="M67" s="14">
        <f t="shared" si="50"/>
        <v>0</v>
      </c>
      <c r="N67" s="14">
        <v>0</v>
      </c>
      <c r="O67" s="14">
        <f>(I67*K67)+N67</f>
        <v>0</v>
      </c>
      <c r="P67" s="15">
        <f>O67*G67</f>
        <v>0</v>
      </c>
      <c r="Q67" s="37"/>
    </row>
    <row r="68" spans="1:17" ht="15.6">
      <c r="A68" s="36" t="str">
        <f>IF(G68&lt;&gt;"",1+MAX($A$1:A67),"")</f>
        <v/>
      </c>
      <c r="B68" s="79"/>
      <c r="C68" s="1"/>
      <c r="D68" s="58"/>
      <c r="E68" s="8"/>
      <c r="F68" s="4"/>
      <c r="G68" s="4"/>
      <c r="H68" s="4"/>
      <c r="I68" s="11"/>
      <c r="J68" s="12"/>
      <c r="K68" s="13"/>
      <c r="L68" s="14"/>
      <c r="M68" s="14"/>
      <c r="N68" s="14"/>
      <c r="O68" s="14"/>
      <c r="P68" s="15"/>
      <c r="Q68" s="37"/>
    </row>
    <row r="69" spans="1:17" ht="15.6">
      <c r="A69" s="36">
        <f>IF(G69&lt;&gt;"",1+MAX($A$1:A68),"")</f>
        <v>48</v>
      </c>
      <c r="B69" s="79"/>
      <c r="C69" s="1"/>
      <c r="D69" s="58" t="s">
        <v>64</v>
      </c>
      <c r="E69" s="8">
        <f>2*14*14*2.5/27</f>
        <v>36.296296296296298</v>
      </c>
      <c r="F69" s="9">
        <v>0.1</v>
      </c>
      <c r="G69" s="10">
        <f t="shared" ref="G69:G70" si="53">E69*(1+F69)</f>
        <v>39.925925925925931</v>
      </c>
      <c r="H69" s="4" t="s">
        <v>30</v>
      </c>
      <c r="I69" s="11">
        <v>0</v>
      </c>
      <c r="J69" s="12">
        <f t="shared" ref="J69:J73" si="54">+I69*G69</f>
        <v>0</v>
      </c>
      <c r="K69" s="13">
        <v>0</v>
      </c>
      <c r="L69" s="14">
        <f t="shared" ref="L69:L73" si="55">K69*J69</f>
        <v>0</v>
      </c>
      <c r="M69" s="14">
        <f t="shared" ref="M69:M73" si="56">N69*G69</f>
        <v>0</v>
      </c>
      <c r="N69" s="14">
        <v>0</v>
      </c>
      <c r="O69" s="14">
        <f>(I69*K69)+N69</f>
        <v>0</v>
      </c>
      <c r="P69" s="15">
        <f>O69*G69</f>
        <v>0</v>
      </c>
      <c r="Q69" s="37"/>
    </row>
    <row r="70" spans="1:17" ht="28.8">
      <c r="A70" s="36">
        <f>IF(G70&lt;&gt;"",1+MAX($A$1:A69),"")</f>
        <v>49</v>
      </c>
      <c r="B70" s="79"/>
      <c r="C70" s="1"/>
      <c r="D70" s="59" t="s">
        <v>53</v>
      </c>
      <c r="E70" s="8">
        <f>2.67*1680</f>
        <v>4485.5999999999995</v>
      </c>
      <c r="F70" s="9">
        <v>0.05</v>
      </c>
      <c r="G70" s="10">
        <f t="shared" si="53"/>
        <v>4709.8799999999992</v>
      </c>
      <c r="H70" s="4" t="s">
        <v>35</v>
      </c>
      <c r="I70" s="11">
        <v>0</v>
      </c>
      <c r="J70" s="12">
        <f t="shared" si="54"/>
        <v>0</v>
      </c>
      <c r="K70" s="13">
        <v>0</v>
      </c>
      <c r="L70" s="14">
        <f t="shared" si="55"/>
        <v>0</v>
      </c>
      <c r="M70" s="14">
        <f t="shared" si="56"/>
        <v>0</v>
      </c>
      <c r="N70" s="14">
        <v>0</v>
      </c>
      <c r="O70" s="14">
        <f>(I70*K70)+N70</f>
        <v>0</v>
      </c>
      <c r="P70" s="15">
        <f>O70*G70</f>
        <v>0</v>
      </c>
      <c r="Q70" s="37"/>
    </row>
    <row r="71" spans="1:17" ht="15.6">
      <c r="A71" s="36">
        <f>IF(G71&lt;&gt;"",1+MAX($A$1:A70),"")</f>
        <v>50</v>
      </c>
      <c r="B71" s="79"/>
      <c r="C71" s="1"/>
      <c r="D71" s="58" t="s">
        <v>31</v>
      </c>
      <c r="E71" s="8">
        <f>2*14*4*2.5</f>
        <v>280</v>
      </c>
      <c r="F71" s="9">
        <v>0.1</v>
      </c>
      <c r="G71" s="10">
        <f t="shared" ref="G71" si="57">E71*(1+F71)</f>
        <v>308</v>
      </c>
      <c r="H71" s="4" t="s">
        <v>32</v>
      </c>
      <c r="I71" s="11">
        <v>0</v>
      </c>
      <c r="J71" s="12">
        <f t="shared" si="54"/>
        <v>0</v>
      </c>
      <c r="K71" s="13">
        <v>0</v>
      </c>
      <c r="L71" s="14">
        <f t="shared" si="55"/>
        <v>0</v>
      </c>
      <c r="M71" s="14">
        <f t="shared" si="56"/>
        <v>0</v>
      </c>
      <c r="N71" s="14">
        <v>0</v>
      </c>
      <c r="O71" s="14">
        <f>(I71*K71)+N71</f>
        <v>0</v>
      </c>
      <c r="P71" s="15">
        <f>O71*G71</f>
        <v>0</v>
      </c>
      <c r="Q71" s="37"/>
    </row>
    <row r="72" spans="1:17" ht="15.6">
      <c r="A72" s="36">
        <f>IF(G72&lt;&gt;"",1+MAX($A$1:A71),"")</f>
        <v>51</v>
      </c>
      <c r="B72" s="79"/>
      <c r="C72" s="1"/>
      <c r="D72" s="58" t="s">
        <v>44</v>
      </c>
      <c r="E72" s="8">
        <f>1372/27</f>
        <v>50.814814814814817</v>
      </c>
      <c r="F72" s="9">
        <v>0.1</v>
      </c>
      <c r="G72" s="10">
        <f t="shared" ref="G72:G73" si="58">E72*(1+F72)</f>
        <v>55.896296296296306</v>
      </c>
      <c r="H72" s="4" t="s">
        <v>30</v>
      </c>
      <c r="I72" s="11">
        <v>0</v>
      </c>
      <c r="J72" s="12">
        <f t="shared" si="54"/>
        <v>0</v>
      </c>
      <c r="K72" s="13">
        <v>0</v>
      </c>
      <c r="L72" s="14">
        <f t="shared" si="55"/>
        <v>0</v>
      </c>
      <c r="M72" s="14">
        <f t="shared" si="56"/>
        <v>0</v>
      </c>
      <c r="N72" s="14">
        <v>0</v>
      </c>
      <c r="O72" s="14">
        <f>(I72*K72)+N72</f>
        <v>0</v>
      </c>
      <c r="P72" s="15">
        <f>O72*G72</f>
        <v>0</v>
      </c>
      <c r="Q72" s="37"/>
    </row>
    <row r="73" spans="1:17" ht="15.6">
      <c r="A73" s="36">
        <f>IF(G73&lt;&gt;"",1+MAX($A$1:A72),"")</f>
        <v>52</v>
      </c>
      <c r="B73" s="79"/>
      <c r="C73" s="1"/>
      <c r="D73" s="58" t="s">
        <v>45</v>
      </c>
      <c r="E73" s="8">
        <f>E72-E69</f>
        <v>14.518518518518519</v>
      </c>
      <c r="F73" s="9">
        <v>0.1</v>
      </c>
      <c r="G73" s="10">
        <f t="shared" si="58"/>
        <v>15.970370370370372</v>
      </c>
      <c r="H73" s="4" t="s">
        <v>30</v>
      </c>
      <c r="I73" s="11">
        <v>0</v>
      </c>
      <c r="J73" s="12">
        <f t="shared" si="54"/>
        <v>0</v>
      </c>
      <c r="K73" s="13">
        <v>0</v>
      </c>
      <c r="L73" s="14">
        <f t="shared" si="55"/>
        <v>0</v>
      </c>
      <c r="M73" s="14">
        <f t="shared" si="56"/>
        <v>0</v>
      </c>
      <c r="N73" s="14">
        <v>0</v>
      </c>
      <c r="O73" s="14">
        <f>(I73*K73)+N73</f>
        <v>0</v>
      </c>
      <c r="P73" s="15">
        <f>O73*G73</f>
        <v>0</v>
      </c>
      <c r="Q73" s="37"/>
    </row>
    <row r="74" spans="1:17" ht="15.6">
      <c r="A74" s="36" t="str">
        <f>IF(G74&lt;&gt;"",1+MAX($A$1:A73),"")</f>
        <v/>
      </c>
      <c r="B74" s="79"/>
      <c r="C74" s="1"/>
      <c r="D74" s="58"/>
      <c r="E74" s="8"/>
      <c r="F74" s="4"/>
      <c r="G74" s="4"/>
      <c r="H74" s="4"/>
      <c r="I74" s="11"/>
      <c r="J74" s="12"/>
      <c r="K74" s="13"/>
      <c r="L74" s="14"/>
      <c r="M74" s="14"/>
      <c r="N74" s="14"/>
      <c r="O74" s="14"/>
      <c r="P74" s="15"/>
      <c r="Q74" s="37"/>
    </row>
    <row r="75" spans="1:17" ht="15.6">
      <c r="A75" s="36">
        <f>IF(G75&lt;&gt;"",1+MAX($A$1:A74),"")</f>
        <v>53</v>
      </c>
      <c r="B75" s="79"/>
      <c r="C75" s="1"/>
      <c r="D75" s="58" t="s">
        <v>65</v>
      </c>
      <c r="E75" s="8">
        <f>1*15*15*2.5/27</f>
        <v>20.833333333333332</v>
      </c>
      <c r="F75" s="9">
        <v>0.1</v>
      </c>
      <c r="G75" s="10">
        <f t="shared" ref="G75:G76" si="59">E75*(1+F75)</f>
        <v>22.916666666666668</v>
      </c>
      <c r="H75" s="4" t="s">
        <v>30</v>
      </c>
      <c r="I75" s="11">
        <v>0</v>
      </c>
      <c r="J75" s="12">
        <f t="shared" ref="J75:J79" si="60">+I75*G75</f>
        <v>0</v>
      </c>
      <c r="K75" s="13">
        <v>0</v>
      </c>
      <c r="L75" s="14">
        <f t="shared" ref="L75:L79" si="61">K75*J75</f>
        <v>0</v>
      </c>
      <c r="M75" s="14">
        <f t="shared" ref="M75:M79" si="62">N75*G75</f>
        <v>0</v>
      </c>
      <c r="N75" s="14">
        <v>0</v>
      </c>
      <c r="O75" s="14">
        <f>(I75*K75)+N75</f>
        <v>0</v>
      </c>
      <c r="P75" s="15">
        <f>O75*G75</f>
        <v>0</v>
      </c>
      <c r="Q75" s="37"/>
    </row>
    <row r="76" spans="1:17" ht="28.8">
      <c r="A76" s="36">
        <f>IF(G76&lt;&gt;"",1+MAX($A$1:A75),"")</f>
        <v>54</v>
      </c>
      <c r="B76" s="79"/>
      <c r="C76" s="1"/>
      <c r="D76" s="59" t="s">
        <v>54</v>
      </c>
      <c r="E76" s="8">
        <f>2.67*960</f>
        <v>2563.1999999999998</v>
      </c>
      <c r="F76" s="9">
        <v>0.05</v>
      </c>
      <c r="G76" s="10">
        <f t="shared" si="59"/>
        <v>2691.36</v>
      </c>
      <c r="H76" s="4" t="s">
        <v>35</v>
      </c>
      <c r="I76" s="11">
        <v>0</v>
      </c>
      <c r="J76" s="12">
        <f t="shared" si="60"/>
        <v>0</v>
      </c>
      <c r="K76" s="13">
        <v>0</v>
      </c>
      <c r="L76" s="14">
        <f t="shared" si="61"/>
        <v>0</v>
      </c>
      <c r="M76" s="14">
        <f t="shared" si="62"/>
        <v>0</v>
      </c>
      <c r="N76" s="14">
        <v>0</v>
      </c>
      <c r="O76" s="14">
        <f>(I76*K76)+N76</f>
        <v>0</v>
      </c>
      <c r="P76" s="15">
        <f>O76*G76</f>
        <v>0</v>
      </c>
      <c r="Q76" s="37"/>
    </row>
    <row r="77" spans="1:17" ht="15.6">
      <c r="A77" s="36">
        <f>IF(G77&lt;&gt;"",1+MAX($A$1:A76),"")</f>
        <v>55</v>
      </c>
      <c r="B77" s="79"/>
      <c r="C77" s="1"/>
      <c r="D77" s="58" t="s">
        <v>31</v>
      </c>
      <c r="E77" s="8">
        <f>1*15*4*2.5</f>
        <v>150</v>
      </c>
      <c r="F77" s="9">
        <v>0.1</v>
      </c>
      <c r="G77" s="10">
        <f t="shared" ref="G77" si="63">E77*(1+F77)</f>
        <v>165</v>
      </c>
      <c r="H77" s="4" t="s">
        <v>32</v>
      </c>
      <c r="I77" s="11">
        <v>0</v>
      </c>
      <c r="J77" s="12">
        <f t="shared" si="60"/>
        <v>0</v>
      </c>
      <c r="K77" s="13">
        <v>0</v>
      </c>
      <c r="L77" s="14">
        <f t="shared" si="61"/>
        <v>0</v>
      </c>
      <c r="M77" s="14">
        <f t="shared" si="62"/>
        <v>0</v>
      </c>
      <c r="N77" s="14">
        <v>0</v>
      </c>
      <c r="O77" s="14">
        <f>(I77*K77)+N77</f>
        <v>0</v>
      </c>
      <c r="P77" s="15">
        <f>O77*G77</f>
        <v>0</v>
      </c>
      <c r="Q77" s="37"/>
    </row>
    <row r="78" spans="1:17" ht="15.6">
      <c r="A78" s="36">
        <f>IF(G78&lt;&gt;"",1+MAX($A$1:A77),"")</f>
        <v>56</v>
      </c>
      <c r="B78" s="79"/>
      <c r="C78" s="1"/>
      <c r="D78" s="58" t="s">
        <v>44</v>
      </c>
      <c r="E78" s="8">
        <f>787.5/27</f>
        <v>29.166666666666668</v>
      </c>
      <c r="F78" s="9">
        <v>0.1</v>
      </c>
      <c r="G78" s="10">
        <f t="shared" ref="G78:G79" si="64">E78*(1+F78)</f>
        <v>32.083333333333336</v>
      </c>
      <c r="H78" s="4" t="s">
        <v>30</v>
      </c>
      <c r="I78" s="11">
        <v>0</v>
      </c>
      <c r="J78" s="12">
        <f t="shared" si="60"/>
        <v>0</v>
      </c>
      <c r="K78" s="13">
        <v>0</v>
      </c>
      <c r="L78" s="14">
        <f t="shared" si="61"/>
        <v>0</v>
      </c>
      <c r="M78" s="14">
        <f t="shared" si="62"/>
        <v>0</v>
      </c>
      <c r="N78" s="14">
        <v>0</v>
      </c>
      <c r="O78" s="14">
        <f>(I78*K78)+N78</f>
        <v>0</v>
      </c>
      <c r="P78" s="15">
        <f>O78*G78</f>
        <v>0</v>
      </c>
      <c r="Q78" s="37"/>
    </row>
    <row r="79" spans="1:17" ht="15.6">
      <c r="A79" s="36">
        <f>IF(G79&lt;&gt;"",1+MAX($A$1:A78),"")</f>
        <v>57</v>
      </c>
      <c r="B79" s="79"/>
      <c r="C79" s="1"/>
      <c r="D79" s="58" t="s">
        <v>45</v>
      </c>
      <c r="E79" s="8">
        <f>E78-E75</f>
        <v>8.3333333333333357</v>
      </c>
      <c r="F79" s="9">
        <v>0.1</v>
      </c>
      <c r="G79" s="10">
        <f t="shared" si="64"/>
        <v>9.1666666666666696</v>
      </c>
      <c r="H79" s="4" t="s">
        <v>30</v>
      </c>
      <c r="I79" s="11">
        <v>0</v>
      </c>
      <c r="J79" s="12">
        <f t="shared" si="60"/>
        <v>0</v>
      </c>
      <c r="K79" s="13">
        <v>0</v>
      </c>
      <c r="L79" s="14">
        <f t="shared" si="61"/>
        <v>0</v>
      </c>
      <c r="M79" s="14">
        <f t="shared" si="62"/>
        <v>0</v>
      </c>
      <c r="N79" s="14">
        <v>0</v>
      </c>
      <c r="O79" s="14">
        <f>(I79*K79)+N79</f>
        <v>0</v>
      </c>
      <c r="P79" s="15">
        <f>O79*G79</f>
        <v>0</v>
      </c>
      <c r="Q79" s="37"/>
    </row>
    <row r="80" spans="1:17" ht="15.6">
      <c r="A80" s="36" t="str">
        <f>IF(G80&lt;&gt;"",1+MAX($A$1:A79),"")</f>
        <v/>
      </c>
      <c r="B80" s="79"/>
      <c r="C80" s="1"/>
      <c r="D80" s="58"/>
      <c r="E80" s="8"/>
      <c r="F80" s="4"/>
      <c r="G80" s="4"/>
      <c r="H80" s="4"/>
      <c r="I80" s="11"/>
      <c r="J80" s="12"/>
      <c r="K80" s="13"/>
      <c r="L80" s="14"/>
      <c r="M80" s="14"/>
      <c r="N80" s="14"/>
      <c r="O80" s="14"/>
      <c r="P80" s="15"/>
      <c r="Q80" s="37"/>
    </row>
    <row r="81" spans="1:17" ht="15.6">
      <c r="A81" s="36">
        <f>IF(G81&lt;&gt;"",1+MAX($A$1:A80),"")</f>
        <v>58</v>
      </c>
      <c r="B81" s="79"/>
      <c r="C81" s="1"/>
      <c r="D81" s="58" t="s">
        <v>66</v>
      </c>
      <c r="E81" s="8">
        <f>1*16*16*2.5/27</f>
        <v>23.703703703703702</v>
      </c>
      <c r="F81" s="9">
        <v>0.1</v>
      </c>
      <c r="G81" s="10">
        <f t="shared" ref="G81:G82" si="65">E81*(1+F81)</f>
        <v>26.074074074074076</v>
      </c>
      <c r="H81" s="4" t="s">
        <v>30</v>
      </c>
      <c r="I81" s="11">
        <v>0</v>
      </c>
      <c r="J81" s="12">
        <f t="shared" ref="J81:J85" si="66">+I81*G81</f>
        <v>0</v>
      </c>
      <c r="K81" s="13">
        <v>0</v>
      </c>
      <c r="L81" s="14">
        <f t="shared" ref="L81:L85" si="67">K81*J81</f>
        <v>0</v>
      </c>
      <c r="M81" s="14">
        <f t="shared" ref="M81:M85" si="68">N81*G81</f>
        <v>0</v>
      </c>
      <c r="N81" s="14">
        <v>0</v>
      </c>
      <c r="O81" s="14">
        <f>(I81*K81)+N81</f>
        <v>0</v>
      </c>
      <c r="P81" s="15">
        <f>O81*G81</f>
        <v>0</v>
      </c>
      <c r="Q81" s="37"/>
    </row>
    <row r="82" spans="1:17" ht="28.8">
      <c r="A82" s="36">
        <f>IF(G82&lt;&gt;"",1+MAX($A$1:A81),"")</f>
        <v>59</v>
      </c>
      <c r="B82" s="79"/>
      <c r="C82" s="1"/>
      <c r="D82" s="59" t="s">
        <v>55</v>
      </c>
      <c r="E82" s="8">
        <f>2.67*1088</f>
        <v>2904.96</v>
      </c>
      <c r="F82" s="9">
        <v>0.05</v>
      </c>
      <c r="G82" s="10">
        <f t="shared" si="65"/>
        <v>3050.2080000000001</v>
      </c>
      <c r="H82" s="4" t="s">
        <v>35</v>
      </c>
      <c r="I82" s="11">
        <v>0</v>
      </c>
      <c r="J82" s="12">
        <f t="shared" si="66"/>
        <v>0</v>
      </c>
      <c r="K82" s="13">
        <v>0</v>
      </c>
      <c r="L82" s="14">
        <f t="shared" si="67"/>
        <v>0</v>
      </c>
      <c r="M82" s="14">
        <f t="shared" si="68"/>
        <v>0</v>
      </c>
      <c r="N82" s="14">
        <v>0</v>
      </c>
      <c r="O82" s="14">
        <f>(I82*K82)+N82</f>
        <v>0</v>
      </c>
      <c r="P82" s="15">
        <f>O82*G82</f>
        <v>0</v>
      </c>
      <c r="Q82" s="37"/>
    </row>
    <row r="83" spans="1:17" ht="15.6">
      <c r="A83" s="36">
        <f>IF(G83&lt;&gt;"",1+MAX($A$1:A82),"")</f>
        <v>60</v>
      </c>
      <c r="B83" s="79"/>
      <c r="C83" s="1"/>
      <c r="D83" s="58" t="s">
        <v>31</v>
      </c>
      <c r="E83" s="8">
        <f>1*16*4*2.5</f>
        <v>160</v>
      </c>
      <c r="F83" s="9">
        <v>0.1</v>
      </c>
      <c r="G83" s="10">
        <f t="shared" ref="G83" si="69">E83*(1+F83)</f>
        <v>176</v>
      </c>
      <c r="H83" s="4" t="s">
        <v>32</v>
      </c>
      <c r="I83" s="11">
        <v>0</v>
      </c>
      <c r="J83" s="12">
        <f t="shared" si="66"/>
        <v>0</v>
      </c>
      <c r="K83" s="13">
        <v>0</v>
      </c>
      <c r="L83" s="14">
        <f t="shared" si="67"/>
        <v>0</v>
      </c>
      <c r="M83" s="14">
        <f t="shared" si="68"/>
        <v>0</v>
      </c>
      <c r="N83" s="14">
        <v>0</v>
      </c>
      <c r="O83" s="14">
        <f>(I83*K83)+N83</f>
        <v>0</v>
      </c>
      <c r="P83" s="15">
        <f>O83*G83</f>
        <v>0</v>
      </c>
      <c r="Q83" s="37"/>
    </row>
    <row r="84" spans="1:17" ht="15.6">
      <c r="A84" s="36">
        <f>IF(G84&lt;&gt;"",1+MAX($A$1:A83),"")</f>
        <v>61</v>
      </c>
      <c r="B84" s="79"/>
      <c r="C84" s="1"/>
      <c r="D84" s="58" t="s">
        <v>44</v>
      </c>
      <c r="E84" s="8">
        <f>896/27</f>
        <v>33.185185185185183</v>
      </c>
      <c r="F84" s="9">
        <v>0.1</v>
      </c>
      <c r="G84" s="10">
        <f t="shared" ref="G84:G85" si="70">E84*(1+F84)</f>
        <v>36.503703703703707</v>
      </c>
      <c r="H84" s="4" t="s">
        <v>30</v>
      </c>
      <c r="I84" s="11">
        <v>0</v>
      </c>
      <c r="J84" s="12">
        <f t="shared" si="66"/>
        <v>0</v>
      </c>
      <c r="K84" s="13">
        <v>0</v>
      </c>
      <c r="L84" s="14">
        <f t="shared" si="67"/>
        <v>0</v>
      </c>
      <c r="M84" s="14">
        <f t="shared" si="68"/>
        <v>0</v>
      </c>
      <c r="N84" s="14">
        <v>0</v>
      </c>
      <c r="O84" s="14">
        <f>(I84*K84)+N84</f>
        <v>0</v>
      </c>
      <c r="P84" s="15">
        <f>O84*G84</f>
        <v>0</v>
      </c>
      <c r="Q84" s="37"/>
    </row>
    <row r="85" spans="1:17" ht="15.6">
      <c r="A85" s="36">
        <f>IF(G85&lt;&gt;"",1+MAX($A$1:A84),"")</f>
        <v>62</v>
      </c>
      <c r="B85" s="80"/>
      <c r="C85" s="1"/>
      <c r="D85" s="58" t="s">
        <v>45</v>
      </c>
      <c r="E85" s="8">
        <f>E84-E81</f>
        <v>9.481481481481481</v>
      </c>
      <c r="F85" s="9">
        <v>0.1</v>
      </c>
      <c r="G85" s="10">
        <f t="shared" si="70"/>
        <v>10.42962962962963</v>
      </c>
      <c r="H85" s="4" t="s">
        <v>30</v>
      </c>
      <c r="I85" s="11">
        <v>0</v>
      </c>
      <c r="J85" s="12">
        <f t="shared" si="66"/>
        <v>0</v>
      </c>
      <c r="K85" s="13">
        <v>0</v>
      </c>
      <c r="L85" s="14">
        <f t="shared" si="67"/>
        <v>0</v>
      </c>
      <c r="M85" s="14">
        <f t="shared" si="68"/>
        <v>0</v>
      </c>
      <c r="N85" s="14">
        <v>0</v>
      </c>
      <c r="O85" s="14">
        <f>(I85*K85)+N85</f>
        <v>0</v>
      </c>
      <c r="P85" s="15">
        <f>O85*G85</f>
        <v>0</v>
      </c>
      <c r="Q85" s="37"/>
    </row>
    <row r="86" spans="1:17" ht="15.6">
      <c r="A86" s="36" t="str">
        <f>IF(G86&lt;&gt;"",1+MAX($A$1:A85),"")</f>
        <v/>
      </c>
      <c r="B86" s="6"/>
      <c r="C86" s="1"/>
      <c r="D86" s="2"/>
      <c r="E86" s="8"/>
      <c r="F86" s="9"/>
      <c r="G86" s="10"/>
      <c r="H86" s="1"/>
      <c r="I86" s="11"/>
      <c r="J86" s="12"/>
      <c r="K86" s="13"/>
      <c r="L86" s="14"/>
      <c r="M86" s="14"/>
      <c r="N86" s="14"/>
      <c r="O86" s="14"/>
      <c r="P86" s="15"/>
      <c r="Q86" s="37"/>
    </row>
    <row r="87" spans="1:17" ht="15.6">
      <c r="A87" s="36" t="str">
        <f>IF(G87&lt;&gt;"",1+MAX($A$1:A86),"")</f>
        <v/>
      </c>
      <c r="B87" s="6"/>
      <c r="C87" s="1"/>
      <c r="D87" s="22" t="s">
        <v>67</v>
      </c>
      <c r="E87" s="8"/>
      <c r="F87" s="9"/>
      <c r="G87" s="10"/>
      <c r="H87" s="1"/>
      <c r="I87" s="11"/>
      <c r="J87" s="12"/>
      <c r="K87" s="13"/>
      <c r="L87" s="14"/>
      <c r="M87" s="14"/>
      <c r="N87" s="14"/>
      <c r="O87" s="14"/>
      <c r="P87" s="15"/>
      <c r="Q87" s="37"/>
    </row>
    <row r="88" spans="1:17" ht="15.6">
      <c r="A88" s="36">
        <f>IF(G88&lt;&gt;"",1+MAX($A$1:A87),"")</f>
        <v>63</v>
      </c>
      <c r="B88" s="78" t="s">
        <v>186</v>
      </c>
      <c r="C88" s="1"/>
      <c r="D88" s="58" t="s">
        <v>81</v>
      </c>
      <c r="E88" s="8">
        <f>38*2.5*2.5*3.33/27</f>
        <v>29.291666666666668</v>
      </c>
      <c r="F88" s="9">
        <v>0.1</v>
      </c>
      <c r="G88" s="10">
        <f t="shared" ref="G88:G89" si="71">E88*(1+F88)</f>
        <v>32.220833333333339</v>
      </c>
      <c r="H88" s="4" t="s">
        <v>30</v>
      </c>
      <c r="I88" s="11">
        <v>0</v>
      </c>
      <c r="J88" s="12">
        <f t="shared" ref="J88:J90" si="72">+I88*G88</f>
        <v>0</v>
      </c>
      <c r="K88" s="13">
        <v>0</v>
      </c>
      <c r="L88" s="14">
        <f t="shared" ref="L88:L90" si="73">K88*J88</f>
        <v>0</v>
      </c>
      <c r="M88" s="14">
        <f t="shared" ref="M88:M90" si="74">N88*G88</f>
        <v>0</v>
      </c>
      <c r="N88" s="14">
        <v>0</v>
      </c>
      <c r="O88" s="14">
        <f>(I88*K88)+N88</f>
        <v>0</v>
      </c>
      <c r="P88" s="15">
        <f>O88*G88</f>
        <v>0</v>
      </c>
      <c r="Q88" s="37"/>
    </row>
    <row r="89" spans="1:17" ht="43.2">
      <c r="A89" s="36">
        <f>IF(G89&lt;&gt;"",1+MAX($A$1:A88),"")</f>
        <v>64</v>
      </c>
      <c r="B89" s="79"/>
      <c r="C89" s="1"/>
      <c r="D89" s="59" t="s">
        <v>68</v>
      </c>
      <c r="E89" s="8">
        <f>1.043*1188+0.668*1645</f>
        <v>2337.944</v>
      </c>
      <c r="F89" s="9">
        <v>0.05</v>
      </c>
      <c r="G89" s="10">
        <f t="shared" si="71"/>
        <v>2454.8411999999998</v>
      </c>
      <c r="H89" s="4" t="s">
        <v>35</v>
      </c>
      <c r="I89" s="11">
        <v>0</v>
      </c>
      <c r="J89" s="12">
        <f t="shared" si="72"/>
        <v>0</v>
      </c>
      <c r="K89" s="13">
        <v>0</v>
      </c>
      <c r="L89" s="14">
        <f t="shared" si="73"/>
        <v>0</v>
      </c>
      <c r="M89" s="14">
        <f t="shared" si="74"/>
        <v>0</v>
      </c>
      <c r="N89" s="14">
        <v>0</v>
      </c>
      <c r="O89" s="14">
        <f>(I89*K89)+N89</f>
        <v>0</v>
      </c>
      <c r="P89" s="15">
        <f>O89*G89</f>
        <v>0</v>
      </c>
      <c r="Q89" s="37"/>
    </row>
    <row r="90" spans="1:17" ht="15.6">
      <c r="A90" s="36">
        <f>IF(G90&lt;&gt;"",1+MAX($A$1:A89),"")</f>
        <v>65</v>
      </c>
      <c r="B90" s="79"/>
      <c r="C90" s="1"/>
      <c r="D90" s="58" t="s">
        <v>31</v>
      </c>
      <c r="E90" s="8">
        <f>38*2.5*4*3.33</f>
        <v>1265.4000000000001</v>
      </c>
      <c r="F90" s="9">
        <v>0.1</v>
      </c>
      <c r="G90" s="10">
        <f t="shared" ref="G90" si="75">E90*(1+F90)</f>
        <v>1391.9400000000003</v>
      </c>
      <c r="H90" s="4" t="s">
        <v>32</v>
      </c>
      <c r="I90" s="11">
        <v>0</v>
      </c>
      <c r="J90" s="12">
        <f t="shared" si="72"/>
        <v>0</v>
      </c>
      <c r="K90" s="13">
        <v>0</v>
      </c>
      <c r="L90" s="14">
        <f t="shared" si="73"/>
        <v>0</v>
      </c>
      <c r="M90" s="14">
        <f t="shared" si="74"/>
        <v>0</v>
      </c>
      <c r="N90" s="14">
        <v>0</v>
      </c>
      <c r="O90" s="14">
        <f>(I90*K90)+N90</f>
        <v>0</v>
      </c>
      <c r="P90" s="15">
        <f>O90*G90</f>
        <v>0</v>
      </c>
      <c r="Q90" s="37"/>
    </row>
    <row r="91" spans="1:17" ht="15.6">
      <c r="A91" s="36" t="str">
        <f>IF(G91&lt;&gt;"",1+MAX($A$1:A90),"")</f>
        <v/>
      </c>
      <c r="B91" s="79"/>
      <c r="C91" s="1"/>
      <c r="D91" s="58"/>
      <c r="E91" s="8"/>
      <c r="F91" s="4"/>
      <c r="G91" s="4"/>
      <c r="H91" s="4"/>
      <c r="I91" s="11"/>
      <c r="J91" s="12"/>
      <c r="K91" s="13"/>
      <c r="L91" s="14"/>
      <c r="M91" s="14"/>
      <c r="N91" s="14"/>
      <c r="O91" s="14"/>
      <c r="P91" s="15"/>
      <c r="Q91" s="37"/>
    </row>
    <row r="92" spans="1:17" ht="15.6">
      <c r="A92" s="36" t="str">
        <f>IF(G92&lt;&gt;"",1+MAX($A$1:A91),"")</f>
        <v/>
      </c>
      <c r="B92" s="79"/>
      <c r="C92" s="1"/>
      <c r="D92" s="58"/>
      <c r="E92" s="8"/>
      <c r="F92" s="4"/>
      <c r="G92" s="4"/>
      <c r="H92" s="4"/>
      <c r="I92" s="11"/>
      <c r="J92" s="12"/>
      <c r="K92" s="13"/>
      <c r="L92" s="14"/>
      <c r="M92" s="14"/>
      <c r="N92" s="14"/>
      <c r="O92" s="14"/>
      <c r="P92" s="15"/>
      <c r="Q92" s="37"/>
    </row>
    <row r="93" spans="1:17" ht="15.6">
      <c r="A93" s="36">
        <f>IF(G93&lt;&gt;"",1+MAX($A$1:A92),"")</f>
        <v>66</v>
      </c>
      <c r="B93" s="79"/>
      <c r="C93" s="1"/>
      <c r="D93" s="58" t="s">
        <v>82</v>
      </c>
      <c r="E93" s="8">
        <f>2*4.67*2.5*3.33/27</f>
        <v>2.8798333333333339</v>
      </c>
      <c r="F93" s="9">
        <v>0.1</v>
      </c>
      <c r="G93" s="10">
        <f t="shared" ref="G93:G94" si="76">E93*(1+F93)</f>
        <v>3.1678166666666674</v>
      </c>
      <c r="H93" s="4" t="s">
        <v>30</v>
      </c>
      <c r="I93" s="11">
        <v>0</v>
      </c>
      <c r="J93" s="12">
        <f t="shared" ref="J93:J95" si="77">+I93*G93</f>
        <v>0</v>
      </c>
      <c r="K93" s="13">
        <v>0</v>
      </c>
      <c r="L93" s="14">
        <f t="shared" ref="L93:L95" si="78">K93*J93</f>
        <v>0</v>
      </c>
      <c r="M93" s="14">
        <f t="shared" ref="M93:M95" si="79">N93*G93</f>
        <v>0</v>
      </c>
      <c r="N93" s="14">
        <v>0</v>
      </c>
      <c r="O93" s="14">
        <f>(I93*K93)+N93</f>
        <v>0</v>
      </c>
      <c r="P93" s="15">
        <f>O93*G93</f>
        <v>0</v>
      </c>
      <c r="Q93" s="37"/>
    </row>
    <row r="94" spans="1:17" ht="43.2">
      <c r="A94" s="36">
        <f>IF(G94&lt;&gt;"",1+MAX($A$1:A93),"")</f>
        <v>67</v>
      </c>
      <c r="B94" s="79"/>
      <c r="C94" s="1"/>
      <c r="D94" s="59" t="s">
        <v>69</v>
      </c>
      <c r="E94" s="8">
        <f>1.043*117+0.668*124</f>
        <v>204.863</v>
      </c>
      <c r="F94" s="9">
        <v>0.05</v>
      </c>
      <c r="G94" s="10">
        <f t="shared" si="76"/>
        <v>215.10615000000001</v>
      </c>
      <c r="H94" s="4" t="s">
        <v>35</v>
      </c>
      <c r="I94" s="11">
        <v>0</v>
      </c>
      <c r="J94" s="12">
        <f t="shared" si="77"/>
        <v>0</v>
      </c>
      <c r="K94" s="13">
        <v>0</v>
      </c>
      <c r="L94" s="14">
        <f t="shared" si="78"/>
        <v>0</v>
      </c>
      <c r="M94" s="14">
        <f t="shared" si="79"/>
        <v>0</v>
      </c>
      <c r="N94" s="14">
        <v>0</v>
      </c>
      <c r="O94" s="14">
        <f>(I94*K94)+N94</f>
        <v>0</v>
      </c>
      <c r="P94" s="15">
        <f>O94*G94</f>
        <v>0</v>
      </c>
      <c r="Q94" s="37"/>
    </row>
    <row r="95" spans="1:17" ht="15.6">
      <c r="A95" s="36">
        <f>IF(G95&lt;&gt;"",1+MAX($A$1:A94),"")</f>
        <v>68</v>
      </c>
      <c r="B95" s="79"/>
      <c r="C95" s="1"/>
      <c r="D95" s="58" t="s">
        <v>31</v>
      </c>
      <c r="E95" s="8">
        <f>2*(4.67*2+2.5*2)*3.33</f>
        <v>95.504400000000004</v>
      </c>
      <c r="F95" s="9">
        <v>0.1</v>
      </c>
      <c r="G95" s="10">
        <f t="shared" ref="G95" si="80">E95*(1+F95)</f>
        <v>105.05484000000001</v>
      </c>
      <c r="H95" s="4" t="s">
        <v>32</v>
      </c>
      <c r="I95" s="11">
        <v>0</v>
      </c>
      <c r="J95" s="12">
        <f t="shared" si="77"/>
        <v>0</v>
      </c>
      <c r="K95" s="13">
        <v>0</v>
      </c>
      <c r="L95" s="14">
        <f t="shared" si="78"/>
        <v>0</v>
      </c>
      <c r="M95" s="14">
        <f t="shared" si="79"/>
        <v>0</v>
      </c>
      <c r="N95" s="14">
        <v>0</v>
      </c>
      <c r="O95" s="14">
        <f>(I95*K95)+N95</f>
        <v>0</v>
      </c>
      <c r="P95" s="15">
        <f>O95*G95</f>
        <v>0</v>
      </c>
      <c r="Q95" s="37"/>
    </row>
    <row r="96" spans="1:17" ht="15.6">
      <c r="A96" s="36" t="str">
        <f>IF(G96&lt;&gt;"",1+MAX($A$1:A95),"")</f>
        <v/>
      </c>
      <c r="B96" s="79"/>
      <c r="C96" s="1"/>
      <c r="D96" s="58"/>
      <c r="E96" s="8"/>
      <c r="F96" s="4"/>
      <c r="G96" s="4"/>
      <c r="H96" s="4"/>
      <c r="I96" s="11"/>
      <c r="J96" s="12"/>
      <c r="K96" s="13"/>
      <c r="L96" s="14"/>
      <c r="M96" s="14"/>
      <c r="N96" s="14"/>
      <c r="O96" s="14"/>
      <c r="P96" s="15"/>
      <c r="Q96" s="37"/>
    </row>
    <row r="97" spans="1:17" ht="15.6">
      <c r="A97" s="36">
        <f>IF(G97&lt;&gt;"",1+MAX($A$1:A96),"")</f>
        <v>69</v>
      </c>
      <c r="B97" s="79"/>
      <c r="C97" s="1"/>
      <c r="D97" s="58" t="s">
        <v>83</v>
      </c>
      <c r="E97" s="8">
        <f>3*4.67*2.5*2.67/27</f>
        <v>3.4635833333333328</v>
      </c>
      <c r="F97" s="9">
        <v>0.1</v>
      </c>
      <c r="G97" s="10">
        <f t="shared" ref="G97:G98" si="81">E97*(1+F97)</f>
        <v>3.8099416666666666</v>
      </c>
      <c r="H97" s="4" t="s">
        <v>30</v>
      </c>
      <c r="I97" s="11">
        <v>0</v>
      </c>
      <c r="J97" s="12">
        <f t="shared" ref="J97:J99" si="82">+I97*G97</f>
        <v>0</v>
      </c>
      <c r="K97" s="13">
        <v>0</v>
      </c>
      <c r="L97" s="14">
        <f t="shared" ref="L97:L99" si="83">K97*J97</f>
        <v>0</v>
      </c>
      <c r="M97" s="14">
        <f t="shared" ref="M97:M99" si="84">N97*G97</f>
        <v>0</v>
      </c>
      <c r="N97" s="14">
        <v>0</v>
      </c>
      <c r="O97" s="14">
        <f>(I97*K97)+N97</f>
        <v>0</v>
      </c>
      <c r="P97" s="15">
        <f>O97*G97</f>
        <v>0</v>
      </c>
      <c r="Q97" s="37"/>
    </row>
    <row r="98" spans="1:17" ht="43.2">
      <c r="A98" s="36">
        <f>IF(G98&lt;&gt;"",1+MAX($A$1:A97),"")</f>
        <v>70</v>
      </c>
      <c r="B98" s="79"/>
      <c r="C98" s="1"/>
      <c r="D98" s="59" t="s">
        <v>70</v>
      </c>
      <c r="E98" s="8">
        <f>1.043*140+0.668*158</f>
        <v>251.56399999999999</v>
      </c>
      <c r="F98" s="9">
        <v>0.05</v>
      </c>
      <c r="G98" s="10">
        <f t="shared" si="81"/>
        <v>264.1422</v>
      </c>
      <c r="H98" s="4" t="s">
        <v>35</v>
      </c>
      <c r="I98" s="11">
        <v>0</v>
      </c>
      <c r="J98" s="12">
        <f t="shared" si="82"/>
        <v>0</v>
      </c>
      <c r="K98" s="13">
        <v>0</v>
      </c>
      <c r="L98" s="14">
        <f t="shared" si="83"/>
        <v>0</v>
      </c>
      <c r="M98" s="14">
        <f t="shared" si="84"/>
        <v>0</v>
      </c>
      <c r="N98" s="14">
        <v>0</v>
      </c>
      <c r="O98" s="14">
        <f>(I98*K98)+N98</f>
        <v>0</v>
      </c>
      <c r="P98" s="15">
        <f>O98*G98</f>
        <v>0</v>
      </c>
      <c r="Q98" s="37"/>
    </row>
    <row r="99" spans="1:17" ht="15.6">
      <c r="A99" s="36">
        <f>IF(G99&lt;&gt;"",1+MAX($A$1:A98),"")</f>
        <v>71</v>
      </c>
      <c r="B99" s="79"/>
      <c r="C99" s="1"/>
      <c r="D99" s="58" t="s">
        <v>31</v>
      </c>
      <c r="E99" s="8">
        <f>3*(4.67*2+2.5*2)*2.67</f>
        <v>114.86339999999998</v>
      </c>
      <c r="F99" s="9">
        <v>0.1</v>
      </c>
      <c r="G99" s="10">
        <f t="shared" ref="G99" si="85">E99*(1+F99)</f>
        <v>126.34974</v>
      </c>
      <c r="H99" s="4" t="s">
        <v>32</v>
      </c>
      <c r="I99" s="11">
        <v>0</v>
      </c>
      <c r="J99" s="12">
        <f t="shared" si="82"/>
        <v>0</v>
      </c>
      <c r="K99" s="13">
        <v>0</v>
      </c>
      <c r="L99" s="14">
        <f t="shared" si="83"/>
        <v>0</v>
      </c>
      <c r="M99" s="14">
        <f t="shared" si="84"/>
        <v>0</v>
      </c>
      <c r="N99" s="14">
        <v>0</v>
      </c>
      <c r="O99" s="14">
        <f>(I99*K99)+N99</f>
        <v>0</v>
      </c>
      <c r="P99" s="15">
        <f>O99*G99</f>
        <v>0</v>
      </c>
      <c r="Q99" s="37"/>
    </row>
    <row r="100" spans="1:17" ht="15.6">
      <c r="A100" s="36" t="str">
        <f>IF(G100&lt;&gt;"",1+MAX($A$1:A99),"")</f>
        <v/>
      </c>
      <c r="B100" s="79"/>
      <c r="C100" s="1"/>
      <c r="D100" s="58"/>
      <c r="E100" s="8"/>
      <c r="F100" s="4"/>
      <c r="G100" s="4"/>
      <c r="H100" s="4"/>
      <c r="I100" s="11"/>
      <c r="J100" s="12"/>
      <c r="K100" s="13"/>
      <c r="L100" s="14"/>
      <c r="M100" s="14"/>
      <c r="N100" s="14"/>
      <c r="O100" s="14"/>
      <c r="P100" s="15"/>
      <c r="Q100" s="37"/>
    </row>
    <row r="101" spans="1:17" ht="15.6">
      <c r="A101" s="36">
        <f>IF(G101&lt;&gt;"",1+MAX($A$1:A100),"")</f>
        <v>72</v>
      </c>
      <c r="B101" s="79"/>
      <c r="C101" s="1"/>
      <c r="D101" s="58" t="s">
        <v>84</v>
      </c>
      <c r="E101" s="8">
        <f>2*2.5*2.5*3/27</f>
        <v>1.3888888888888888</v>
      </c>
      <c r="F101" s="9">
        <v>0.1</v>
      </c>
      <c r="G101" s="10">
        <f t="shared" ref="G101:G102" si="86">E101*(1+F101)</f>
        <v>1.5277777777777779</v>
      </c>
      <c r="H101" s="4" t="s">
        <v>30</v>
      </c>
      <c r="I101" s="11">
        <v>0</v>
      </c>
      <c r="J101" s="12">
        <f t="shared" ref="J101:J103" si="87">+I101*G101</f>
        <v>0</v>
      </c>
      <c r="K101" s="13">
        <v>0</v>
      </c>
      <c r="L101" s="14">
        <f t="shared" ref="L101:L103" si="88">K101*J101</f>
        <v>0</v>
      </c>
      <c r="M101" s="14">
        <f t="shared" ref="M101:M103" si="89">N101*G101</f>
        <v>0</v>
      </c>
      <c r="N101" s="14">
        <v>0</v>
      </c>
      <c r="O101" s="14">
        <f>(I101*K101)+N101</f>
        <v>0</v>
      </c>
      <c r="P101" s="15">
        <f>O101*G101</f>
        <v>0</v>
      </c>
      <c r="Q101" s="37"/>
    </row>
    <row r="102" spans="1:17" ht="43.2">
      <c r="A102" s="36">
        <f>IF(G102&lt;&gt;"",1+MAX($A$1:A101),"")</f>
        <v>73</v>
      </c>
      <c r="B102" s="79"/>
      <c r="C102" s="1"/>
      <c r="D102" s="59" t="s">
        <v>71</v>
      </c>
      <c r="E102" s="8">
        <f>1.043*50+0.668*80</f>
        <v>105.59</v>
      </c>
      <c r="F102" s="9">
        <v>0.05</v>
      </c>
      <c r="G102" s="10">
        <f t="shared" si="86"/>
        <v>110.8695</v>
      </c>
      <c r="H102" s="4" t="s">
        <v>35</v>
      </c>
      <c r="I102" s="11">
        <v>0</v>
      </c>
      <c r="J102" s="12">
        <f t="shared" si="87"/>
        <v>0</v>
      </c>
      <c r="K102" s="13">
        <v>0</v>
      </c>
      <c r="L102" s="14">
        <f t="shared" si="88"/>
        <v>0</v>
      </c>
      <c r="M102" s="14">
        <f t="shared" si="89"/>
        <v>0</v>
      </c>
      <c r="N102" s="14">
        <v>0</v>
      </c>
      <c r="O102" s="14">
        <f>(I102*K102)+N102</f>
        <v>0</v>
      </c>
      <c r="P102" s="15">
        <f>O102*G102</f>
        <v>0</v>
      </c>
      <c r="Q102" s="37"/>
    </row>
    <row r="103" spans="1:17" ht="15.6">
      <c r="A103" s="36">
        <f>IF(G103&lt;&gt;"",1+MAX($A$1:A102),"")</f>
        <v>74</v>
      </c>
      <c r="B103" s="79"/>
      <c r="C103" s="1"/>
      <c r="D103" s="58" t="s">
        <v>31</v>
      </c>
      <c r="E103" s="8">
        <f>2*2.5*4*3</f>
        <v>60</v>
      </c>
      <c r="F103" s="9">
        <v>0.1</v>
      </c>
      <c r="G103" s="10">
        <f t="shared" ref="G103" si="90">E103*(1+F103)</f>
        <v>66</v>
      </c>
      <c r="H103" s="4" t="s">
        <v>32</v>
      </c>
      <c r="I103" s="11">
        <v>0</v>
      </c>
      <c r="J103" s="12">
        <f t="shared" si="87"/>
        <v>0</v>
      </c>
      <c r="K103" s="13">
        <v>0</v>
      </c>
      <c r="L103" s="14">
        <f t="shared" si="88"/>
        <v>0</v>
      </c>
      <c r="M103" s="14">
        <f t="shared" si="89"/>
        <v>0</v>
      </c>
      <c r="N103" s="14">
        <v>0</v>
      </c>
      <c r="O103" s="14">
        <f>(I103*K103)+N103</f>
        <v>0</v>
      </c>
      <c r="P103" s="15">
        <f>O103*G103</f>
        <v>0</v>
      </c>
      <c r="Q103" s="37"/>
    </row>
    <row r="104" spans="1:17" ht="15.6">
      <c r="A104" s="36" t="str">
        <f>IF(G104&lt;&gt;"",1+MAX($A$1:A103),"")</f>
        <v/>
      </c>
      <c r="B104" s="79"/>
      <c r="C104" s="1"/>
      <c r="D104" s="58"/>
      <c r="E104" s="8"/>
      <c r="F104" s="4"/>
      <c r="G104" s="4"/>
      <c r="H104" s="4"/>
      <c r="I104" s="11"/>
      <c r="J104" s="12"/>
      <c r="K104" s="13"/>
      <c r="L104" s="14"/>
      <c r="M104" s="14"/>
      <c r="N104" s="14"/>
      <c r="O104" s="14"/>
      <c r="P104" s="15"/>
      <c r="Q104" s="37"/>
    </row>
    <row r="105" spans="1:17" ht="15.6">
      <c r="A105" s="36">
        <f>IF(G105&lt;&gt;"",1+MAX($A$1:A104),"")</f>
        <v>75</v>
      </c>
      <c r="B105" s="79"/>
      <c r="C105" s="1"/>
      <c r="D105" s="58" t="s">
        <v>85</v>
      </c>
      <c r="E105" s="8">
        <f>9*2.5*2.5*4/27</f>
        <v>8.3333333333333339</v>
      </c>
      <c r="F105" s="9">
        <v>0.1</v>
      </c>
      <c r="G105" s="10">
        <f t="shared" ref="G105:G106" si="91">E105*(1+F105)</f>
        <v>9.1666666666666679</v>
      </c>
      <c r="H105" s="4" t="s">
        <v>30</v>
      </c>
      <c r="I105" s="11">
        <v>0</v>
      </c>
      <c r="J105" s="12">
        <f t="shared" ref="J105:J107" si="92">+I105*G105</f>
        <v>0</v>
      </c>
      <c r="K105" s="13">
        <v>0</v>
      </c>
      <c r="L105" s="14">
        <f t="shared" ref="L105:L107" si="93">K105*J105</f>
        <v>0</v>
      </c>
      <c r="M105" s="14">
        <f t="shared" ref="M105:M107" si="94">N105*G105</f>
        <v>0</v>
      </c>
      <c r="N105" s="14">
        <v>0</v>
      </c>
      <c r="O105" s="14">
        <f>(I105*K105)+N105</f>
        <v>0</v>
      </c>
      <c r="P105" s="15">
        <f>O105*G105</f>
        <v>0</v>
      </c>
      <c r="Q105" s="37"/>
    </row>
    <row r="106" spans="1:17" ht="43.2">
      <c r="A106" s="36">
        <f>IF(G106&lt;&gt;"",1+MAX($A$1:A105),"")</f>
        <v>76</v>
      </c>
      <c r="B106" s="79"/>
      <c r="C106" s="1"/>
      <c r="D106" s="59" t="s">
        <v>72</v>
      </c>
      <c r="E106" s="8">
        <f>1.043*281+0.668*450</f>
        <v>593.68299999999999</v>
      </c>
      <c r="F106" s="9">
        <v>0.05</v>
      </c>
      <c r="G106" s="10">
        <f t="shared" si="91"/>
        <v>623.36715000000004</v>
      </c>
      <c r="H106" s="4" t="s">
        <v>35</v>
      </c>
      <c r="I106" s="11">
        <v>0</v>
      </c>
      <c r="J106" s="12">
        <f t="shared" si="92"/>
        <v>0</v>
      </c>
      <c r="K106" s="13">
        <v>0</v>
      </c>
      <c r="L106" s="14">
        <f t="shared" si="93"/>
        <v>0</v>
      </c>
      <c r="M106" s="14">
        <f t="shared" si="94"/>
        <v>0</v>
      </c>
      <c r="N106" s="14">
        <v>0</v>
      </c>
      <c r="O106" s="14">
        <f>(I106*K106)+N106</f>
        <v>0</v>
      </c>
      <c r="P106" s="15">
        <f>O106*G106</f>
        <v>0</v>
      </c>
      <c r="Q106" s="37"/>
    </row>
    <row r="107" spans="1:17" ht="15.6">
      <c r="A107" s="36">
        <f>IF(G107&lt;&gt;"",1+MAX($A$1:A106),"")</f>
        <v>77</v>
      </c>
      <c r="B107" s="79"/>
      <c r="C107" s="1"/>
      <c r="D107" s="58" t="s">
        <v>31</v>
      </c>
      <c r="E107" s="8">
        <f>9*2.5*4*4</f>
        <v>360</v>
      </c>
      <c r="F107" s="9">
        <v>0.1</v>
      </c>
      <c r="G107" s="10">
        <f t="shared" ref="G107" si="95">E107*(1+F107)</f>
        <v>396.00000000000006</v>
      </c>
      <c r="H107" s="4" t="s">
        <v>32</v>
      </c>
      <c r="I107" s="11">
        <v>0</v>
      </c>
      <c r="J107" s="12">
        <f t="shared" si="92"/>
        <v>0</v>
      </c>
      <c r="K107" s="13">
        <v>0</v>
      </c>
      <c r="L107" s="14">
        <f t="shared" si="93"/>
        <v>0</v>
      </c>
      <c r="M107" s="14">
        <f t="shared" si="94"/>
        <v>0</v>
      </c>
      <c r="N107" s="14">
        <v>0</v>
      </c>
      <c r="O107" s="14">
        <f>(I107*K107)+N107</f>
        <v>0</v>
      </c>
      <c r="P107" s="15">
        <f>O107*G107</f>
        <v>0</v>
      </c>
      <c r="Q107" s="37"/>
    </row>
    <row r="108" spans="1:17" ht="15.6">
      <c r="A108" s="36" t="str">
        <f>IF(G108&lt;&gt;"",1+MAX($A$1:A107),"")</f>
        <v/>
      </c>
      <c r="B108" s="79"/>
      <c r="C108" s="1"/>
      <c r="D108" s="58"/>
      <c r="E108" s="8"/>
      <c r="F108" s="4"/>
      <c r="G108" s="4"/>
      <c r="H108" s="4"/>
      <c r="I108" s="11"/>
      <c r="J108" s="12"/>
      <c r="K108" s="13"/>
      <c r="L108" s="14"/>
      <c r="M108" s="14"/>
      <c r="N108" s="14"/>
      <c r="O108" s="14"/>
      <c r="P108" s="15"/>
      <c r="Q108" s="37"/>
    </row>
    <row r="109" spans="1:17" ht="15.6">
      <c r="A109" s="36">
        <f>IF(G109&lt;&gt;"",1+MAX($A$1:A108),"")</f>
        <v>78</v>
      </c>
      <c r="B109" s="79"/>
      <c r="C109" s="1"/>
      <c r="D109" s="58" t="s">
        <v>86</v>
      </c>
      <c r="E109" s="8">
        <f>2*2.5*2.5*5/27</f>
        <v>2.3148148148148149</v>
      </c>
      <c r="F109" s="9">
        <v>0.1</v>
      </c>
      <c r="G109" s="10">
        <f t="shared" ref="G109:G110" si="96">E109*(1+F109)</f>
        <v>2.5462962962962967</v>
      </c>
      <c r="H109" s="4" t="s">
        <v>30</v>
      </c>
      <c r="I109" s="11">
        <v>0</v>
      </c>
      <c r="J109" s="12">
        <f t="shared" ref="J109:J111" si="97">+I109*G109</f>
        <v>0</v>
      </c>
      <c r="K109" s="13">
        <v>0</v>
      </c>
      <c r="L109" s="14">
        <f t="shared" ref="L109:L111" si="98">K109*J109</f>
        <v>0</v>
      </c>
      <c r="M109" s="14">
        <f t="shared" ref="M109:M111" si="99">N109*G109</f>
        <v>0</v>
      </c>
      <c r="N109" s="14">
        <v>0</v>
      </c>
      <c r="O109" s="14">
        <f>(I109*K109)+N109</f>
        <v>0</v>
      </c>
      <c r="P109" s="15">
        <f>O109*G109</f>
        <v>0</v>
      </c>
      <c r="Q109" s="37"/>
    </row>
    <row r="110" spans="1:17" ht="43.2">
      <c r="A110" s="36">
        <f>IF(G110&lt;&gt;"",1+MAX($A$1:A109),"")</f>
        <v>79</v>
      </c>
      <c r="B110" s="79"/>
      <c r="C110" s="1"/>
      <c r="D110" s="59" t="s">
        <v>73</v>
      </c>
      <c r="E110" s="8">
        <f>1.043*75+0.668*120</f>
        <v>158.38499999999999</v>
      </c>
      <c r="F110" s="9">
        <v>0.05</v>
      </c>
      <c r="G110" s="10">
        <f t="shared" si="96"/>
        <v>166.30425</v>
      </c>
      <c r="H110" s="4" t="s">
        <v>35</v>
      </c>
      <c r="I110" s="11">
        <v>0</v>
      </c>
      <c r="J110" s="12">
        <f t="shared" si="97"/>
        <v>0</v>
      </c>
      <c r="K110" s="13">
        <v>0</v>
      </c>
      <c r="L110" s="14">
        <f t="shared" si="98"/>
        <v>0</v>
      </c>
      <c r="M110" s="14">
        <f t="shared" si="99"/>
        <v>0</v>
      </c>
      <c r="N110" s="14">
        <v>0</v>
      </c>
      <c r="O110" s="14">
        <f>(I110*K110)+N110</f>
        <v>0</v>
      </c>
      <c r="P110" s="15">
        <f>O110*G110</f>
        <v>0</v>
      </c>
      <c r="Q110" s="37"/>
    </row>
    <row r="111" spans="1:17" ht="15.6">
      <c r="A111" s="36">
        <f>IF(G111&lt;&gt;"",1+MAX($A$1:A110),"")</f>
        <v>80</v>
      </c>
      <c r="B111" s="79"/>
      <c r="C111" s="1"/>
      <c r="D111" s="58" t="s">
        <v>31</v>
      </c>
      <c r="E111" s="8">
        <f>2*2.5*4*5</f>
        <v>100</v>
      </c>
      <c r="F111" s="9">
        <v>0.1</v>
      </c>
      <c r="G111" s="10">
        <f t="shared" ref="G111" si="100">E111*(1+F111)</f>
        <v>110.00000000000001</v>
      </c>
      <c r="H111" s="4" t="s">
        <v>32</v>
      </c>
      <c r="I111" s="11">
        <v>0</v>
      </c>
      <c r="J111" s="12">
        <f t="shared" si="97"/>
        <v>0</v>
      </c>
      <c r="K111" s="13">
        <v>0</v>
      </c>
      <c r="L111" s="14">
        <f t="shared" si="98"/>
        <v>0</v>
      </c>
      <c r="M111" s="14">
        <f t="shared" si="99"/>
        <v>0</v>
      </c>
      <c r="N111" s="14">
        <v>0</v>
      </c>
      <c r="O111" s="14">
        <f>(I111*K111)+N111</f>
        <v>0</v>
      </c>
      <c r="P111" s="15">
        <f>O111*G111</f>
        <v>0</v>
      </c>
      <c r="Q111" s="37"/>
    </row>
    <row r="112" spans="1:17" ht="15.6">
      <c r="A112" s="36" t="str">
        <f>IF(G112&lt;&gt;"",1+MAX($A$1:A111),"")</f>
        <v/>
      </c>
      <c r="B112" s="79"/>
      <c r="C112" s="1"/>
      <c r="D112" s="58"/>
      <c r="E112" s="8"/>
      <c r="F112" s="4"/>
      <c r="G112" s="4"/>
      <c r="H112" s="4"/>
      <c r="I112" s="11"/>
      <c r="J112" s="12"/>
      <c r="K112" s="13"/>
      <c r="L112" s="14"/>
      <c r="M112" s="14"/>
      <c r="N112" s="14"/>
      <c r="O112" s="14"/>
      <c r="P112" s="15"/>
      <c r="Q112" s="37"/>
    </row>
    <row r="113" spans="1:17" ht="15.6">
      <c r="A113" s="36">
        <f>IF(G113&lt;&gt;"",1+MAX($A$1:A112),"")</f>
        <v>81</v>
      </c>
      <c r="B113" s="79"/>
      <c r="C113" s="1"/>
      <c r="D113" s="58" t="s">
        <v>87</v>
      </c>
      <c r="E113" s="8">
        <f>3*2.5*2.5*5.33/27</f>
        <v>3.7013888888888888</v>
      </c>
      <c r="F113" s="9">
        <v>0.1</v>
      </c>
      <c r="G113" s="10">
        <f t="shared" ref="G113:G114" si="101">E113*(1+F113)</f>
        <v>4.0715277777777779</v>
      </c>
      <c r="H113" s="4" t="s">
        <v>30</v>
      </c>
      <c r="I113" s="11">
        <v>0</v>
      </c>
      <c r="J113" s="12">
        <f t="shared" ref="J113:J115" si="102">+I113*G113</f>
        <v>0</v>
      </c>
      <c r="K113" s="13">
        <v>0</v>
      </c>
      <c r="L113" s="14">
        <f t="shared" ref="L113:L115" si="103">K113*J113</f>
        <v>0</v>
      </c>
      <c r="M113" s="14">
        <f t="shared" ref="M113:M115" si="104">N113*G113</f>
        <v>0</v>
      </c>
      <c r="N113" s="14">
        <v>0</v>
      </c>
      <c r="O113" s="14">
        <f>(I113*K113)+N113</f>
        <v>0</v>
      </c>
      <c r="P113" s="15">
        <f>O113*G113</f>
        <v>0</v>
      </c>
      <c r="Q113" s="37"/>
    </row>
    <row r="114" spans="1:17" ht="43.2">
      <c r="A114" s="36">
        <f>IF(G114&lt;&gt;"",1+MAX($A$1:A113),"")</f>
        <v>82</v>
      </c>
      <c r="B114" s="79"/>
      <c r="C114" s="1"/>
      <c r="D114" s="59" t="s">
        <v>74</v>
      </c>
      <c r="E114" s="8">
        <f>1.043*113+0.668*190</f>
        <v>244.779</v>
      </c>
      <c r="F114" s="9">
        <v>0.05</v>
      </c>
      <c r="G114" s="10">
        <f t="shared" si="101"/>
        <v>257.01794999999998</v>
      </c>
      <c r="H114" s="4" t="s">
        <v>35</v>
      </c>
      <c r="I114" s="11">
        <v>0</v>
      </c>
      <c r="J114" s="12">
        <f t="shared" si="102"/>
        <v>0</v>
      </c>
      <c r="K114" s="13">
        <v>0</v>
      </c>
      <c r="L114" s="14">
        <f t="shared" si="103"/>
        <v>0</v>
      </c>
      <c r="M114" s="14">
        <f t="shared" si="104"/>
        <v>0</v>
      </c>
      <c r="N114" s="14">
        <v>0</v>
      </c>
      <c r="O114" s="14">
        <f>(I114*K114)+N114</f>
        <v>0</v>
      </c>
      <c r="P114" s="15">
        <f>O114*G114</f>
        <v>0</v>
      </c>
      <c r="Q114" s="37"/>
    </row>
    <row r="115" spans="1:17" ht="15.6">
      <c r="A115" s="36">
        <f>IF(G115&lt;&gt;"",1+MAX($A$1:A114),"")</f>
        <v>83</v>
      </c>
      <c r="B115" s="79"/>
      <c r="C115" s="1"/>
      <c r="D115" s="58" t="s">
        <v>31</v>
      </c>
      <c r="E115" s="8">
        <f>3*2.5*4*5.33</f>
        <v>159.9</v>
      </c>
      <c r="F115" s="9">
        <v>0.1</v>
      </c>
      <c r="G115" s="10">
        <f t="shared" ref="G115" si="105">E115*(1+F115)</f>
        <v>175.89000000000001</v>
      </c>
      <c r="H115" s="4" t="s">
        <v>32</v>
      </c>
      <c r="I115" s="11">
        <v>0</v>
      </c>
      <c r="J115" s="12">
        <f t="shared" si="102"/>
        <v>0</v>
      </c>
      <c r="K115" s="13">
        <v>0</v>
      </c>
      <c r="L115" s="14">
        <f t="shared" si="103"/>
        <v>0</v>
      </c>
      <c r="M115" s="14">
        <f t="shared" si="104"/>
        <v>0</v>
      </c>
      <c r="N115" s="14">
        <v>0</v>
      </c>
      <c r="O115" s="14">
        <f>(I115*K115)+N115</f>
        <v>0</v>
      </c>
      <c r="P115" s="15">
        <f>O115*G115</f>
        <v>0</v>
      </c>
      <c r="Q115" s="37"/>
    </row>
    <row r="116" spans="1:17" ht="15.6">
      <c r="A116" s="36" t="str">
        <f>IF(G116&lt;&gt;"",1+MAX($A$1:A115),"")</f>
        <v/>
      </c>
      <c r="B116" s="79"/>
      <c r="C116" s="1"/>
      <c r="D116" s="58"/>
      <c r="E116" s="8"/>
      <c r="F116" s="4"/>
      <c r="G116" s="4"/>
      <c r="H116" s="4"/>
      <c r="I116" s="11"/>
      <c r="J116" s="12"/>
      <c r="K116" s="13"/>
      <c r="L116" s="14"/>
      <c r="M116" s="14"/>
      <c r="N116" s="14"/>
      <c r="O116" s="14"/>
      <c r="P116" s="15"/>
      <c r="Q116" s="37"/>
    </row>
    <row r="117" spans="1:17" ht="15.6">
      <c r="A117" s="36">
        <f>IF(G117&lt;&gt;"",1+MAX($A$1:A116),"")</f>
        <v>84</v>
      </c>
      <c r="B117" s="79"/>
      <c r="C117" s="1"/>
      <c r="D117" s="58" t="s">
        <v>88</v>
      </c>
      <c r="E117" s="8">
        <f>6*2.5*2.5*7.33/27</f>
        <v>10.180555555555555</v>
      </c>
      <c r="F117" s="9">
        <v>0.1</v>
      </c>
      <c r="G117" s="10">
        <f t="shared" ref="G117:G118" si="106">E117*(1+F117)</f>
        <v>11.198611111111111</v>
      </c>
      <c r="H117" s="4" t="s">
        <v>30</v>
      </c>
      <c r="I117" s="11">
        <v>0</v>
      </c>
      <c r="J117" s="12">
        <f t="shared" ref="J117:J119" si="107">+I117*G117</f>
        <v>0</v>
      </c>
      <c r="K117" s="13">
        <v>0</v>
      </c>
      <c r="L117" s="14">
        <f t="shared" ref="L117:L119" si="108">K117*J117</f>
        <v>0</v>
      </c>
      <c r="M117" s="14">
        <f t="shared" ref="M117:M119" si="109">N117*G117</f>
        <v>0</v>
      </c>
      <c r="N117" s="14">
        <v>0</v>
      </c>
      <c r="O117" s="14">
        <f>(I117*K117)+N117</f>
        <v>0</v>
      </c>
      <c r="P117" s="15">
        <f>O117*G117</f>
        <v>0</v>
      </c>
      <c r="Q117" s="37"/>
    </row>
    <row r="118" spans="1:17" ht="43.2">
      <c r="A118" s="36">
        <f>IF(G118&lt;&gt;"",1+MAX($A$1:A117),"")</f>
        <v>85</v>
      </c>
      <c r="B118" s="79"/>
      <c r="C118" s="1"/>
      <c r="D118" s="59" t="s">
        <v>75</v>
      </c>
      <c r="E118" s="8">
        <f>1.043*300+0.668*500</f>
        <v>646.9</v>
      </c>
      <c r="F118" s="9">
        <v>0.05</v>
      </c>
      <c r="G118" s="10">
        <f t="shared" si="106"/>
        <v>679.245</v>
      </c>
      <c r="H118" s="4" t="s">
        <v>35</v>
      </c>
      <c r="I118" s="11">
        <v>0</v>
      </c>
      <c r="J118" s="12">
        <f t="shared" si="107"/>
        <v>0</v>
      </c>
      <c r="K118" s="13">
        <v>0</v>
      </c>
      <c r="L118" s="14">
        <f t="shared" si="108"/>
        <v>0</v>
      </c>
      <c r="M118" s="14">
        <f t="shared" si="109"/>
        <v>0</v>
      </c>
      <c r="N118" s="14">
        <v>0</v>
      </c>
      <c r="O118" s="14">
        <f>(I118*K118)+N118</f>
        <v>0</v>
      </c>
      <c r="P118" s="15">
        <f>O118*G118</f>
        <v>0</v>
      </c>
      <c r="Q118" s="37"/>
    </row>
    <row r="119" spans="1:17" ht="15.6">
      <c r="A119" s="36">
        <f>IF(G119&lt;&gt;"",1+MAX($A$1:A118),"")</f>
        <v>86</v>
      </c>
      <c r="B119" s="79"/>
      <c r="C119" s="1"/>
      <c r="D119" s="58" t="s">
        <v>31</v>
      </c>
      <c r="E119" s="8">
        <f>6*2.5*4*7.33</f>
        <v>439.8</v>
      </c>
      <c r="F119" s="9">
        <v>0.1</v>
      </c>
      <c r="G119" s="10">
        <f t="shared" ref="G119" si="110">E119*(1+F119)</f>
        <v>483.78000000000003</v>
      </c>
      <c r="H119" s="4" t="s">
        <v>32</v>
      </c>
      <c r="I119" s="11">
        <v>0</v>
      </c>
      <c r="J119" s="12">
        <f t="shared" si="107"/>
        <v>0</v>
      </c>
      <c r="K119" s="13">
        <v>0</v>
      </c>
      <c r="L119" s="14">
        <f t="shared" si="108"/>
        <v>0</v>
      </c>
      <c r="M119" s="14">
        <f t="shared" si="109"/>
        <v>0</v>
      </c>
      <c r="N119" s="14">
        <v>0</v>
      </c>
      <c r="O119" s="14">
        <f>(I119*K119)+N119</f>
        <v>0</v>
      </c>
      <c r="P119" s="15">
        <f>O119*G119</f>
        <v>0</v>
      </c>
      <c r="Q119" s="37"/>
    </row>
    <row r="120" spans="1:17" ht="15.6">
      <c r="A120" s="36" t="str">
        <f>IF(G120&lt;&gt;"",1+MAX($A$1:A119),"")</f>
        <v/>
      </c>
      <c r="B120" s="79"/>
      <c r="C120" s="1"/>
      <c r="D120" s="58"/>
      <c r="E120" s="8"/>
      <c r="F120" s="4"/>
      <c r="G120" s="4"/>
      <c r="H120" s="4"/>
      <c r="I120" s="11"/>
      <c r="J120" s="12"/>
      <c r="K120" s="13"/>
      <c r="L120" s="14"/>
      <c r="M120" s="14"/>
      <c r="N120" s="14"/>
      <c r="O120" s="14"/>
      <c r="P120" s="15"/>
      <c r="Q120" s="37"/>
    </row>
    <row r="121" spans="1:17" ht="15.6">
      <c r="A121" s="36">
        <f>IF(G121&lt;&gt;"",1+MAX($A$1:A120),"")</f>
        <v>87</v>
      </c>
      <c r="B121" s="79"/>
      <c r="C121" s="1"/>
      <c r="D121" s="58" t="s">
        <v>89</v>
      </c>
      <c r="E121" s="8">
        <f>19*2.5*2.5*2.67/27</f>
        <v>11.743055555555555</v>
      </c>
      <c r="F121" s="9">
        <v>0.1</v>
      </c>
      <c r="G121" s="10">
        <f t="shared" ref="G121:G122" si="111">E121*(1+F121)</f>
        <v>12.917361111111111</v>
      </c>
      <c r="H121" s="4" t="s">
        <v>30</v>
      </c>
      <c r="I121" s="11">
        <v>0</v>
      </c>
      <c r="J121" s="12">
        <f t="shared" ref="J121:J123" si="112">+I121*G121</f>
        <v>0</v>
      </c>
      <c r="K121" s="13">
        <v>0</v>
      </c>
      <c r="L121" s="14">
        <f t="shared" ref="L121:L123" si="113">K121*J121</f>
        <v>0</v>
      </c>
      <c r="M121" s="14">
        <f t="shared" ref="M121:M123" si="114">N121*G121</f>
        <v>0</v>
      </c>
      <c r="N121" s="14">
        <v>0</v>
      </c>
      <c r="O121" s="14">
        <f>(I121*K121)+N121</f>
        <v>0</v>
      </c>
      <c r="P121" s="15">
        <f>O121*G121</f>
        <v>0</v>
      </c>
      <c r="Q121" s="37"/>
    </row>
    <row r="122" spans="1:17" ht="43.2">
      <c r="A122" s="36">
        <f>IF(G122&lt;&gt;"",1+MAX($A$1:A121),"")</f>
        <v>88</v>
      </c>
      <c r="B122" s="79"/>
      <c r="C122" s="1"/>
      <c r="D122" s="59" t="s">
        <v>76</v>
      </c>
      <c r="E122" s="8">
        <f>1.043*416+0.668*697</f>
        <v>899.48399999999992</v>
      </c>
      <c r="F122" s="9">
        <v>0.05</v>
      </c>
      <c r="G122" s="10">
        <f t="shared" si="111"/>
        <v>944.45819999999992</v>
      </c>
      <c r="H122" s="4" t="s">
        <v>35</v>
      </c>
      <c r="I122" s="11">
        <v>0</v>
      </c>
      <c r="J122" s="12">
        <f t="shared" si="112"/>
        <v>0</v>
      </c>
      <c r="K122" s="13">
        <v>0</v>
      </c>
      <c r="L122" s="14">
        <f t="shared" si="113"/>
        <v>0</v>
      </c>
      <c r="M122" s="14">
        <f t="shared" si="114"/>
        <v>0</v>
      </c>
      <c r="N122" s="14">
        <v>0</v>
      </c>
      <c r="O122" s="14">
        <f>(I122*K122)+N122</f>
        <v>0</v>
      </c>
      <c r="P122" s="15">
        <f>O122*G122</f>
        <v>0</v>
      </c>
      <c r="Q122" s="37"/>
    </row>
    <row r="123" spans="1:17" ht="15.6">
      <c r="A123" s="36">
        <f>IF(G123&lt;&gt;"",1+MAX($A$1:A122),"")</f>
        <v>89</v>
      </c>
      <c r="B123" s="79"/>
      <c r="C123" s="1"/>
      <c r="D123" s="58" t="s">
        <v>31</v>
      </c>
      <c r="E123" s="8">
        <f>19*2.5*4*2.67</f>
        <v>507.3</v>
      </c>
      <c r="F123" s="9">
        <v>0.1</v>
      </c>
      <c r="G123" s="10">
        <f t="shared" ref="G123" si="115">E123*(1+F123)</f>
        <v>558.03000000000009</v>
      </c>
      <c r="H123" s="4" t="s">
        <v>32</v>
      </c>
      <c r="I123" s="11">
        <v>0</v>
      </c>
      <c r="J123" s="12">
        <f t="shared" si="112"/>
        <v>0</v>
      </c>
      <c r="K123" s="13">
        <v>0</v>
      </c>
      <c r="L123" s="14">
        <f t="shared" si="113"/>
        <v>0</v>
      </c>
      <c r="M123" s="14">
        <f t="shared" si="114"/>
        <v>0</v>
      </c>
      <c r="N123" s="14">
        <v>0</v>
      </c>
      <c r="O123" s="14">
        <f>(I123*K123)+N123</f>
        <v>0</v>
      </c>
      <c r="P123" s="15">
        <f>O123*G123</f>
        <v>0</v>
      </c>
      <c r="Q123" s="37"/>
    </row>
    <row r="124" spans="1:17" ht="15.6">
      <c r="A124" s="36" t="str">
        <f>IF(G124&lt;&gt;"",1+MAX($A$1:A123),"")</f>
        <v/>
      </c>
      <c r="B124" s="79"/>
      <c r="C124" s="1"/>
      <c r="D124" s="58"/>
      <c r="E124" s="8"/>
      <c r="F124" s="4"/>
      <c r="G124" s="4"/>
      <c r="H124" s="4"/>
      <c r="I124" s="11"/>
      <c r="J124" s="12"/>
      <c r="K124" s="13"/>
      <c r="L124" s="14"/>
      <c r="M124" s="14"/>
      <c r="N124" s="14"/>
      <c r="O124" s="14"/>
      <c r="P124" s="15"/>
      <c r="Q124" s="37"/>
    </row>
    <row r="125" spans="1:17" ht="15.6">
      <c r="A125" s="36">
        <f>IF(G125&lt;&gt;"",1+MAX($A$1:A124),"")</f>
        <v>90</v>
      </c>
      <c r="B125" s="79"/>
      <c r="C125" s="1"/>
      <c r="D125" s="58" t="s">
        <v>90</v>
      </c>
      <c r="E125" s="8">
        <f>4*2.5*2.5*4.67/27</f>
        <v>4.3240740740740744</v>
      </c>
      <c r="F125" s="9">
        <v>0.1</v>
      </c>
      <c r="G125" s="10">
        <f t="shared" ref="G125:G126" si="116">E125*(1+F125)</f>
        <v>4.7564814814814822</v>
      </c>
      <c r="H125" s="4" t="s">
        <v>30</v>
      </c>
      <c r="I125" s="11">
        <v>0</v>
      </c>
      <c r="J125" s="12">
        <f t="shared" ref="J125:J127" si="117">+I125*G125</f>
        <v>0</v>
      </c>
      <c r="K125" s="13">
        <v>0</v>
      </c>
      <c r="L125" s="14">
        <f t="shared" ref="L125:L127" si="118">K125*J125</f>
        <v>0</v>
      </c>
      <c r="M125" s="14">
        <f t="shared" ref="M125:M127" si="119">N125*G125</f>
        <v>0</v>
      </c>
      <c r="N125" s="14">
        <v>0</v>
      </c>
      <c r="O125" s="14">
        <f>(I125*K125)+N125</f>
        <v>0</v>
      </c>
      <c r="P125" s="15">
        <f>O125*G125</f>
        <v>0</v>
      </c>
      <c r="Q125" s="37"/>
    </row>
    <row r="126" spans="1:17" ht="43.2">
      <c r="A126" s="36">
        <f>IF(G126&lt;&gt;"",1+MAX($A$1:A125),"")</f>
        <v>91</v>
      </c>
      <c r="B126" s="79"/>
      <c r="C126" s="1"/>
      <c r="D126" s="59" t="s">
        <v>77</v>
      </c>
      <c r="E126" s="8">
        <f>1.043*138+0.668*227</f>
        <v>295.57</v>
      </c>
      <c r="F126" s="9">
        <v>0.05</v>
      </c>
      <c r="G126" s="10">
        <f t="shared" si="116"/>
        <v>310.3485</v>
      </c>
      <c r="H126" s="4" t="s">
        <v>35</v>
      </c>
      <c r="I126" s="11">
        <v>0</v>
      </c>
      <c r="J126" s="12">
        <f t="shared" si="117"/>
        <v>0</v>
      </c>
      <c r="K126" s="13">
        <v>0</v>
      </c>
      <c r="L126" s="14">
        <f t="shared" si="118"/>
        <v>0</v>
      </c>
      <c r="M126" s="14">
        <f t="shared" si="119"/>
        <v>0</v>
      </c>
      <c r="N126" s="14">
        <v>0</v>
      </c>
      <c r="O126" s="14">
        <f>(I126*K126)+N126</f>
        <v>0</v>
      </c>
      <c r="P126" s="15">
        <f>O126*G126</f>
        <v>0</v>
      </c>
      <c r="Q126" s="37"/>
    </row>
    <row r="127" spans="1:17" ht="15.6">
      <c r="A127" s="36">
        <f>IF(G127&lt;&gt;"",1+MAX($A$1:A126),"")</f>
        <v>92</v>
      </c>
      <c r="B127" s="79"/>
      <c r="C127" s="1"/>
      <c r="D127" s="58" t="s">
        <v>31</v>
      </c>
      <c r="E127" s="8">
        <f>4*2.5*4*4.67</f>
        <v>186.8</v>
      </c>
      <c r="F127" s="9">
        <v>0.1</v>
      </c>
      <c r="G127" s="10">
        <f t="shared" ref="G127" si="120">E127*(1+F127)</f>
        <v>205.48000000000002</v>
      </c>
      <c r="H127" s="4" t="s">
        <v>32</v>
      </c>
      <c r="I127" s="11">
        <v>0</v>
      </c>
      <c r="J127" s="12">
        <f t="shared" si="117"/>
        <v>0</v>
      </c>
      <c r="K127" s="13">
        <v>0</v>
      </c>
      <c r="L127" s="14">
        <f t="shared" si="118"/>
        <v>0</v>
      </c>
      <c r="M127" s="14">
        <f t="shared" si="119"/>
        <v>0</v>
      </c>
      <c r="N127" s="14">
        <v>0</v>
      </c>
      <c r="O127" s="14">
        <f>(I127*K127)+N127</f>
        <v>0</v>
      </c>
      <c r="P127" s="15">
        <f>O127*G127</f>
        <v>0</v>
      </c>
      <c r="Q127" s="37"/>
    </row>
    <row r="128" spans="1:17" ht="15.6">
      <c r="A128" s="36" t="str">
        <f>IF(G128&lt;&gt;"",1+MAX($A$1:A127),"")</f>
        <v/>
      </c>
      <c r="B128" s="79"/>
      <c r="C128" s="1"/>
      <c r="D128" s="58"/>
      <c r="E128" s="8"/>
      <c r="F128" s="4"/>
      <c r="G128" s="4"/>
      <c r="H128" s="4"/>
      <c r="I128" s="11"/>
      <c r="J128" s="12"/>
      <c r="K128" s="13"/>
      <c r="L128" s="14"/>
      <c r="M128" s="14"/>
      <c r="N128" s="14"/>
      <c r="O128" s="14"/>
      <c r="P128" s="15"/>
      <c r="Q128" s="37"/>
    </row>
    <row r="129" spans="1:17" ht="15.6">
      <c r="A129" s="36">
        <f>IF(G129&lt;&gt;"",1+MAX($A$1:A128),"")</f>
        <v>93</v>
      </c>
      <c r="B129" s="79"/>
      <c r="C129" s="1"/>
      <c r="D129" s="58" t="s">
        <v>91</v>
      </c>
      <c r="E129" s="8">
        <f>2*2.5*2.5*4.75/27</f>
        <v>2.199074074074074</v>
      </c>
      <c r="F129" s="9">
        <v>0.1</v>
      </c>
      <c r="G129" s="10">
        <f t="shared" ref="G129:G130" si="121">E129*(1+F129)</f>
        <v>2.4189814814814814</v>
      </c>
      <c r="H129" s="4" t="s">
        <v>30</v>
      </c>
      <c r="I129" s="11">
        <v>0</v>
      </c>
      <c r="J129" s="12">
        <f t="shared" ref="J129:J131" si="122">+I129*G129</f>
        <v>0</v>
      </c>
      <c r="K129" s="13">
        <v>0</v>
      </c>
      <c r="L129" s="14">
        <f t="shared" ref="L129:L131" si="123">K129*J129</f>
        <v>0</v>
      </c>
      <c r="M129" s="14">
        <f t="shared" ref="M129:M131" si="124">N129*G129</f>
        <v>0</v>
      </c>
      <c r="N129" s="14">
        <v>0</v>
      </c>
      <c r="O129" s="14">
        <f>(I129*K129)+N129</f>
        <v>0</v>
      </c>
      <c r="P129" s="15">
        <f>O129*G129</f>
        <v>0</v>
      </c>
      <c r="Q129" s="37"/>
    </row>
    <row r="130" spans="1:17" ht="43.2">
      <c r="A130" s="36">
        <f>IF(G130&lt;&gt;"",1+MAX($A$1:A129),"")</f>
        <v>94</v>
      </c>
      <c r="B130" s="79"/>
      <c r="C130" s="1"/>
      <c r="D130" s="59" t="s">
        <v>78</v>
      </c>
      <c r="E130" s="8">
        <f>1.043*69+0.668*115</f>
        <v>148.78700000000001</v>
      </c>
      <c r="F130" s="9">
        <v>0.05</v>
      </c>
      <c r="G130" s="10">
        <f t="shared" si="121"/>
        <v>156.22635000000002</v>
      </c>
      <c r="H130" s="4" t="s">
        <v>35</v>
      </c>
      <c r="I130" s="11">
        <v>0</v>
      </c>
      <c r="J130" s="12">
        <f t="shared" si="122"/>
        <v>0</v>
      </c>
      <c r="K130" s="13">
        <v>0</v>
      </c>
      <c r="L130" s="14">
        <f t="shared" si="123"/>
        <v>0</v>
      </c>
      <c r="M130" s="14">
        <f t="shared" si="124"/>
        <v>0</v>
      </c>
      <c r="N130" s="14">
        <v>0</v>
      </c>
      <c r="O130" s="14">
        <f>(I130*K130)+N130</f>
        <v>0</v>
      </c>
      <c r="P130" s="15">
        <f>O130*G130</f>
        <v>0</v>
      </c>
      <c r="Q130" s="37"/>
    </row>
    <row r="131" spans="1:17" ht="15.6">
      <c r="A131" s="36">
        <f>IF(G131&lt;&gt;"",1+MAX($A$1:A130),"")</f>
        <v>95</v>
      </c>
      <c r="B131" s="79"/>
      <c r="C131" s="1"/>
      <c r="D131" s="58" t="s">
        <v>31</v>
      </c>
      <c r="E131" s="8">
        <f>2*2.5*4*4.75</f>
        <v>95</v>
      </c>
      <c r="F131" s="9">
        <v>0.1</v>
      </c>
      <c r="G131" s="10">
        <f t="shared" ref="G131" si="125">E131*(1+F131)</f>
        <v>104.50000000000001</v>
      </c>
      <c r="H131" s="4" t="s">
        <v>32</v>
      </c>
      <c r="I131" s="11">
        <v>0</v>
      </c>
      <c r="J131" s="12">
        <f t="shared" si="122"/>
        <v>0</v>
      </c>
      <c r="K131" s="13">
        <v>0</v>
      </c>
      <c r="L131" s="14">
        <f t="shared" si="123"/>
        <v>0</v>
      </c>
      <c r="M131" s="14">
        <f t="shared" si="124"/>
        <v>0</v>
      </c>
      <c r="N131" s="14">
        <v>0</v>
      </c>
      <c r="O131" s="14">
        <f>(I131*K131)+N131</f>
        <v>0</v>
      </c>
      <c r="P131" s="15">
        <f>O131*G131</f>
        <v>0</v>
      </c>
      <c r="Q131" s="37"/>
    </row>
    <row r="132" spans="1:17" ht="15.6">
      <c r="A132" s="36" t="str">
        <f>IF(G132&lt;&gt;"",1+MAX($A$1:A131),"")</f>
        <v/>
      </c>
      <c r="B132" s="79"/>
      <c r="C132" s="1"/>
      <c r="D132" s="58"/>
      <c r="E132" s="8"/>
      <c r="F132" s="4"/>
      <c r="G132" s="4"/>
      <c r="H132" s="4"/>
      <c r="I132" s="11"/>
      <c r="J132" s="12"/>
      <c r="K132" s="13"/>
      <c r="L132" s="14"/>
      <c r="M132" s="14"/>
      <c r="N132" s="14"/>
      <c r="O132" s="14"/>
      <c r="P132" s="15"/>
      <c r="Q132" s="37"/>
    </row>
    <row r="133" spans="1:17" ht="15.6">
      <c r="A133" s="36">
        <f>IF(G133&lt;&gt;"",1+MAX($A$1:A132),"")</f>
        <v>96</v>
      </c>
      <c r="B133" s="79"/>
      <c r="C133" s="1"/>
      <c r="D133" s="58" t="s">
        <v>92</v>
      </c>
      <c r="E133" s="8">
        <f>2.5*2.5*5.67/27</f>
        <v>1.3125</v>
      </c>
      <c r="F133" s="9">
        <v>0.1</v>
      </c>
      <c r="G133" s="10">
        <f t="shared" ref="G133:G134" si="126">E133*(1+F133)</f>
        <v>1.4437500000000001</v>
      </c>
      <c r="H133" s="4" t="s">
        <v>30</v>
      </c>
      <c r="I133" s="11">
        <v>0</v>
      </c>
      <c r="J133" s="12">
        <f t="shared" ref="J133:J135" si="127">+I133*G133</f>
        <v>0</v>
      </c>
      <c r="K133" s="13">
        <v>0</v>
      </c>
      <c r="L133" s="14">
        <f t="shared" ref="L133:L135" si="128">K133*J133</f>
        <v>0</v>
      </c>
      <c r="M133" s="14">
        <f t="shared" ref="M133:M135" si="129">N133*G133</f>
        <v>0</v>
      </c>
      <c r="N133" s="14">
        <v>0</v>
      </c>
      <c r="O133" s="14">
        <f>(I133*K133)+N133</f>
        <v>0</v>
      </c>
      <c r="P133" s="15">
        <f>O133*G133</f>
        <v>0</v>
      </c>
      <c r="Q133" s="37"/>
    </row>
    <row r="134" spans="1:17" ht="43.2">
      <c r="A134" s="36">
        <f>IF(G134&lt;&gt;"",1+MAX($A$1:A133),"")</f>
        <v>97</v>
      </c>
      <c r="B134" s="79"/>
      <c r="C134" s="1"/>
      <c r="D134" s="59" t="s">
        <v>79</v>
      </c>
      <c r="E134" s="8">
        <f>1.043*41+0.668*68</f>
        <v>88.186999999999998</v>
      </c>
      <c r="F134" s="9">
        <v>0.05</v>
      </c>
      <c r="G134" s="10">
        <f t="shared" si="126"/>
        <v>92.596350000000001</v>
      </c>
      <c r="H134" s="4" t="s">
        <v>35</v>
      </c>
      <c r="I134" s="11">
        <v>0</v>
      </c>
      <c r="J134" s="12">
        <f t="shared" si="127"/>
        <v>0</v>
      </c>
      <c r="K134" s="13">
        <v>0</v>
      </c>
      <c r="L134" s="14">
        <f t="shared" si="128"/>
        <v>0</v>
      </c>
      <c r="M134" s="14">
        <f t="shared" si="129"/>
        <v>0</v>
      </c>
      <c r="N134" s="14">
        <v>0</v>
      </c>
      <c r="O134" s="14">
        <f>(I134*K134)+N134</f>
        <v>0</v>
      </c>
      <c r="P134" s="15">
        <f>O134*G134</f>
        <v>0</v>
      </c>
      <c r="Q134" s="37"/>
    </row>
    <row r="135" spans="1:17" ht="15.6">
      <c r="A135" s="36">
        <f>IF(G135&lt;&gt;"",1+MAX($A$1:A134),"")</f>
        <v>98</v>
      </c>
      <c r="B135" s="79"/>
      <c r="C135" s="1"/>
      <c r="D135" s="58" t="s">
        <v>31</v>
      </c>
      <c r="E135" s="8">
        <f>1*2.5*4*5.67</f>
        <v>56.7</v>
      </c>
      <c r="F135" s="9">
        <v>0.1</v>
      </c>
      <c r="G135" s="10">
        <f t="shared" ref="G135" si="130">E135*(1+F135)</f>
        <v>62.370000000000012</v>
      </c>
      <c r="H135" s="4" t="s">
        <v>32</v>
      </c>
      <c r="I135" s="11">
        <v>0</v>
      </c>
      <c r="J135" s="12">
        <f t="shared" si="127"/>
        <v>0</v>
      </c>
      <c r="K135" s="13">
        <v>0</v>
      </c>
      <c r="L135" s="14">
        <f t="shared" si="128"/>
        <v>0</v>
      </c>
      <c r="M135" s="14">
        <f t="shared" si="129"/>
        <v>0</v>
      </c>
      <c r="N135" s="14">
        <v>0</v>
      </c>
      <c r="O135" s="14">
        <f>(I135*K135)+N135</f>
        <v>0</v>
      </c>
      <c r="P135" s="15">
        <f>O135*G135</f>
        <v>0</v>
      </c>
      <c r="Q135" s="37"/>
    </row>
    <row r="136" spans="1:17" ht="15.6">
      <c r="A136" s="36" t="str">
        <f>IF(G136&lt;&gt;"",1+MAX($A$1:A135),"")</f>
        <v/>
      </c>
      <c r="B136" s="79"/>
      <c r="C136" s="1"/>
      <c r="D136" s="58"/>
      <c r="E136" s="8"/>
      <c r="F136" s="4"/>
      <c r="G136" s="4"/>
      <c r="H136" s="4"/>
      <c r="I136" s="11"/>
      <c r="J136" s="12"/>
      <c r="K136" s="13"/>
      <c r="L136" s="14"/>
      <c r="M136" s="14"/>
      <c r="N136" s="14"/>
      <c r="O136" s="14"/>
      <c r="P136" s="15"/>
      <c r="Q136" s="37"/>
    </row>
    <row r="137" spans="1:17" ht="15.6">
      <c r="A137" s="36">
        <f>IF(G137&lt;&gt;"",1+MAX($A$1:A136),"")</f>
        <v>99</v>
      </c>
      <c r="B137" s="79"/>
      <c r="C137" s="1"/>
      <c r="D137" s="58" t="s">
        <v>93</v>
      </c>
      <c r="E137" s="8">
        <f>2.5*2.5*6.67/27</f>
        <v>1.5439814814814814</v>
      </c>
      <c r="F137" s="9">
        <v>0.1</v>
      </c>
      <c r="G137" s="10">
        <f t="shared" ref="G137:G138" si="131">E137*(1+F137)</f>
        <v>1.6983796296296296</v>
      </c>
      <c r="H137" s="4" t="s">
        <v>30</v>
      </c>
      <c r="I137" s="11">
        <v>0</v>
      </c>
      <c r="J137" s="12">
        <f t="shared" ref="J137:J139" si="132">+I137*G137</f>
        <v>0</v>
      </c>
      <c r="K137" s="13">
        <v>0</v>
      </c>
      <c r="L137" s="14">
        <f t="shared" ref="L137:L139" si="133">K137*J137</f>
        <v>0</v>
      </c>
      <c r="M137" s="14">
        <f t="shared" ref="M137:M139" si="134">N137*G137</f>
        <v>0</v>
      </c>
      <c r="N137" s="14">
        <v>0</v>
      </c>
      <c r="O137" s="14">
        <f>(I137*K137)+N137</f>
        <v>0</v>
      </c>
      <c r="P137" s="15">
        <f>O137*G137</f>
        <v>0</v>
      </c>
      <c r="Q137" s="37"/>
    </row>
    <row r="138" spans="1:17" ht="43.2">
      <c r="A138" s="36">
        <f>IF(G138&lt;&gt;"",1+MAX($A$1:A137),"")</f>
        <v>100</v>
      </c>
      <c r="B138" s="79"/>
      <c r="C138" s="1"/>
      <c r="D138" s="59" t="s">
        <v>80</v>
      </c>
      <c r="E138" s="8">
        <f>1.043*47+0.668*77</f>
        <v>100.45699999999999</v>
      </c>
      <c r="F138" s="9">
        <v>0.05</v>
      </c>
      <c r="G138" s="10">
        <f t="shared" si="131"/>
        <v>105.47985</v>
      </c>
      <c r="H138" s="4" t="s">
        <v>35</v>
      </c>
      <c r="I138" s="11">
        <v>0</v>
      </c>
      <c r="J138" s="12">
        <f t="shared" si="132"/>
        <v>0</v>
      </c>
      <c r="K138" s="13">
        <v>0</v>
      </c>
      <c r="L138" s="14">
        <f t="shared" si="133"/>
        <v>0</v>
      </c>
      <c r="M138" s="14">
        <f t="shared" si="134"/>
        <v>0</v>
      </c>
      <c r="N138" s="14">
        <v>0</v>
      </c>
      <c r="O138" s="14">
        <f>(I138*K138)+N138</f>
        <v>0</v>
      </c>
      <c r="P138" s="15">
        <f>O138*G138</f>
        <v>0</v>
      </c>
      <c r="Q138" s="37"/>
    </row>
    <row r="139" spans="1:17" ht="15.6">
      <c r="A139" s="36">
        <f>IF(G139&lt;&gt;"",1+MAX($A$1:A138),"")</f>
        <v>101</v>
      </c>
      <c r="B139" s="80"/>
      <c r="C139" s="1"/>
      <c r="D139" s="58" t="s">
        <v>31</v>
      </c>
      <c r="E139" s="8">
        <f>1*2.5*4*6.67</f>
        <v>66.7</v>
      </c>
      <c r="F139" s="9">
        <v>0.1</v>
      </c>
      <c r="G139" s="10">
        <f t="shared" ref="G139" si="135">E139*(1+F139)</f>
        <v>73.37</v>
      </c>
      <c r="H139" s="4" t="s">
        <v>32</v>
      </c>
      <c r="I139" s="11">
        <v>0</v>
      </c>
      <c r="J139" s="12">
        <f t="shared" si="132"/>
        <v>0</v>
      </c>
      <c r="K139" s="13">
        <v>0</v>
      </c>
      <c r="L139" s="14">
        <f t="shared" si="133"/>
        <v>0</v>
      </c>
      <c r="M139" s="14">
        <f t="shared" si="134"/>
        <v>0</v>
      </c>
      <c r="N139" s="14">
        <v>0</v>
      </c>
      <c r="O139" s="14">
        <f>(I139*K139)+N139</f>
        <v>0</v>
      </c>
      <c r="P139" s="15">
        <f>O139*G139</f>
        <v>0</v>
      </c>
      <c r="Q139" s="37"/>
    </row>
    <row r="140" spans="1:17" ht="15.6">
      <c r="A140" s="36" t="str">
        <f>IF(G140&lt;&gt;"",1+MAX($A$1:A139),"")</f>
        <v/>
      </c>
      <c r="B140" s="6"/>
      <c r="C140" s="1"/>
      <c r="D140" s="2"/>
      <c r="E140" s="8"/>
      <c r="F140" s="9"/>
      <c r="G140" s="10"/>
      <c r="H140" s="1"/>
      <c r="I140" s="11"/>
      <c r="J140" s="12"/>
      <c r="K140" s="13"/>
      <c r="L140" s="14"/>
      <c r="M140" s="14"/>
      <c r="N140" s="14"/>
      <c r="O140" s="14"/>
      <c r="P140" s="15"/>
      <c r="Q140" s="37"/>
    </row>
    <row r="141" spans="1:17" ht="15.6">
      <c r="A141" s="36" t="str">
        <f>IF(G141&lt;&gt;"",1+MAX($A$1:A140),"")</f>
        <v/>
      </c>
      <c r="B141" s="6"/>
      <c r="C141" s="1"/>
      <c r="D141" s="22" t="s">
        <v>28</v>
      </c>
      <c r="E141" s="8"/>
      <c r="F141" s="9"/>
      <c r="G141" s="10"/>
      <c r="H141" s="1"/>
      <c r="I141" s="11"/>
      <c r="J141" s="12"/>
      <c r="K141" s="13"/>
      <c r="L141" s="14"/>
      <c r="M141" s="14"/>
      <c r="N141" s="14"/>
      <c r="O141" s="14"/>
      <c r="P141" s="15"/>
      <c r="Q141" s="37"/>
    </row>
    <row r="142" spans="1:17" ht="15.6">
      <c r="A142" s="36">
        <f>IF(G142&lt;&gt;"",1+MAX($A$1:A141),"")</f>
        <v>102</v>
      </c>
      <c r="B142" s="78" t="s">
        <v>186</v>
      </c>
      <c r="C142" s="1"/>
      <c r="D142" s="58" t="s">
        <v>107</v>
      </c>
      <c r="E142" s="8">
        <f>616.33*2.5*1/27</f>
        <v>57.067592592592597</v>
      </c>
      <c r="F142" s="9">
        <v>0.1</v>
      </c>
      <c r="G142" s="10">
        <f t="shared" ref="G142:G143" si="136">E142*(1+F142)</f>
        <v>62.774351851851861</v>
      </c>
      <c r="H142" s="4" t="s">
        <v>30</v>
      </c>
      <c r="I142" s="11">
        <v>0</v>
      </c>
      <c r="J142" s="12">
        <f t="shared" ref="J142:J146" si="137">+I142*G142</f>
        <v>0</v>
      </c>
      <c r="K142" s="13">
        <v>0</v>
      </c>
      <c r="L142" s="14">
        <f t="shared" ref="L142:L146" si="138">K142*J142</f>
        <v>0</v>
      </c>
      <c r="M142" s="14">
        <f t="shared" ref="M142:M146" si="139">N142*G142</f>
        <v>0</v>
      </c>
      <c r="N142" s="14">
        <v>0</v>
      </c>
      <c r="O142" s="14">
        <f>(I142*K142)+N142</f>
        <v>0</v>
      </c>
      <c r="P142" s="15">
        <f>O142*G142</f>
        <v>0</v>
      </c>
      <c r="Q142" s="37"/>
    </row>
    <row r="143" spans="1:17" ht="43.2">
      <c r="A143" s="36">
        <f>IF(G143&lt;&gt;"",1+MAX($A$1:A142),"")</f>
        <v>103</v>
      </c>
      <c r="B143" s="79"/>
      <c r="C143" s="1"/>
      <c r="D143" s="59" t="s">
        <v>103</v>
      </c>
      <c r="E143" s="8">
        <f>1.043*2465+0.668*1543</f>
        <v>3601.7190000000001</v>
      </c>
      <c r="F143" s="9">
        <v>0.05</v>
      </c>
      <c r="G143" s="10">
        <f t="shared" si="136"/>
        <v>3781.8049500000002</v>
      </c>
      <c r="H143" s="4" t="s">
        <v>35</v>
      </c>
      <c r="I143" s="11">
        <v>0</v>
      </c>
      <c r="J143" s="12">
        <f t="shared" si="137"/>
        <v>0</v>
      </c>
      <c r="K143" s="13">
        <v>0</v>
      </c>
      <c r="L143" s="14">
        <f t="shared" si="138"/>
        <v>0</v>
      </c>
      <c r="M143" s="14">
        <f t="shared" si="139"/>
        <v>0</v>
      </c>
      <c r="N143" s="14">
        <v>0</v>
      </c>
      <c r="O143" s="14">
        <f>(I143*K143)+N143</f>
        <v>0</v>
      </c>
      <c r="P143" s="15">
        <f>O143*G143</f>
        <v>0</v>
      </c>
      <c r="Q143" s="37"/>
    </row>
    <row r="144" spans="1:17" ht="15.6">
      <c r="A144" s="36">
        <f>IF(G144&lt;&gt;"",1+MAX($A$1:A143),"")</f>
        <v>104</v>
      </c>
      <c r="B144" s="79"/>
      <c r="C144" s="1"/>
      <c r="D144" s="58" t="s">
        <v>31</v>
      </c>
      <c r="E144" s="8">
        <f>616.33*2*1</f>
        <v>1232.6600000000001</v>
      </c>
      <c r="F144" s="9">
        <v>0.1</v>
      </c>
      <c r="G144" s="10">
        <f t="shared" ref="G144" si="140">E144*(1+F144)</f>
        <v>1355.9260000000002</v>
      </c>
      <c r="H144" s="4" t="s">
        <v>32</v>
      </c>
      <c r="I144" s="11">
        <v>0</v>
      </c>
      <c r="J144" s="12">
        <f t="shared" si="137"/>
        <v>0</v>
      </c>
      <c r="K144" s="13">
        <v>0</v>
      </c>
      <c r="L144" s="14">
        <f t="shared" si="138"/>
        <v>0</v>
      </c>
      <c r="M144" s="14">
        <f t="shared" si="139"/>
        <v>0</v>
      </c>
      <c r="N144" s="14">
        <v>0</v>
      </c>
      <c r="O144" s="14">
        <f>(I144*K144)+N144</f>
        <v>0</v>
      </c>
      <c r="P144" s="15">
        <f>O144*G144</f>
        <v>0</v>
      </c>
      <c r="Q144" s="37"/>
    </row>
    <row r="145" spans="1:17" ht="15.6">
      <c r="A145" s="36">
        <f>IF(G145&lt;&gt;"",1+MAX($A$1:A144),"")</f>
        <v>105</v>
      </c>
      <c r="B145" s="79"/>
      <c r="C145" s="1"/>
      <c r="D145" s="58" t="s">
        <v>44</v>
      </c>
      <c r="E145" s="8">
        <f>616.33*3.5*1/27</f>
        <v>79.894629629629634</v>
      </c>
      <c r="F145" s="9">
        <v>0.1</v>
      </c>
      <c r="G145" s="10">
        <f t="shared" ref="G145:G146" si="141">E145*(1+F145)</f>
        <v>87.884092592592609</v>
      </c>
      <c r="H145" s="4" t="s">
        <v>30</v>
      </c>
      <c r="I145" s="11">
        <v>0</v>
      </c>
      <c r="J145" s="12">
        <f t="shared" si="137"/>
        <v>0</v>
      </c>
      <c r="K145" s="13">
        <v>0</v>
      </c>
      <c r="L145" s="14">
        <f t="shared" si="138"/>
        <v>0</v>
      </c>
      <c r="M145" s="14">
        <f t="shared" si="139"/>
        <v>0</v>
      </c>
      <c r="N145" s="14">
        <v>0</v>
      </c>
      <c r="O145" s="14">
        <f>(I145*K145)+N145</f>
        <v>0</v>
      </c>
      <c r="P145" s="15">
        <f>O145*G145</f>
        <v>0</v>
      </c>
      <c r="Q145" s="37"/>
    </row>
    <row r="146" spans="1:17" ht="15.6">
      <c r="A146" s="36">
        <f>IF(G146&lt;&gt;"",1+MAX($A$1:A145),"")</f>
        <v>106</v>
      </c>
      <c r="B146" s="79"/>
      <c r="C146" s="1"/>
      <c r="D146" s="58" t="s">
        <v>45</v>
      </c>
      <c r="E146" s="8">
        <f>E145-E142</f>
        <v>22.827037037037037</v>
      </c>
      <c r="F146" s="9">
        <v>0.1</v>
      </c>
      <c r="G146" s="10">
        <f t="shared" si="141"/>
        <v>25.109740740740744</v>
      </c>
      <c r="H146" s="4" t="s">
        <v>30</v>
      </c>
      <c r="I146" s="11">
        <v>0</v>
      </c>
      <c r="J146" s="12">
        <f t="shared" si="137"/>
        <v>0</v>
      </c>
      <c r="K146" s="13">
        <v>0</v>
      </c>
      <c r="L146" s="14">
        <f t="shared" si="138"/>
        <v>0</v>
      </c>
      <c r="M146" s="14">
        <f t="shared" si="139"/>
        <v>0</v>
      </c>
      <c r="N146" s="14">
        <v>0</v>
      </c>
      <c r="O146" s="14">
        <f>(I146*K146)+N146</f>
        <v>0</v>
      </c>
      <c r="P146" s="15">
        <f>O146*G146</f>
        <v>0</v>
      </c>
      <c r="Q146" s="37"/>
    </row>
    <row r="147" spans="1:17" ht="15.6">
      <c r="A147" s="36" t="str">
        <f>IF(G147&lt;&gt;"",1+MAX($A$1:A146),"")</f>
        <v/>
      </c>
      <c r="B147" s="79"/>
      <c r="C147" s="1"/>
      <c r="D147" s="58"/>
      <c r="E147" s="8"/>
      <c r="F147" s="4"/>
      <c r="G147" s="4"/>
      <c r="H147" s="4"/>
      <c r="I147" s="11"/>
      <c r="J147" s="12"/>
      <c r="K147" s="13"/>
      <c r="L147" s="14"/>
      <c r="M147" s="14"/>
      <c r="N147" s="14"/>
      <c r="O147" s="14"/>
      <c r="P147" s="15"/>
      <c r="Q147" s="37"/>
    </row>
    <row r="148" spans="1:17" ht="15.6">
      <c r="A148" s="36">
        <f>IF(G148&lt;&gt;"",1+MAX($A$1:A147),"")</f>
        <v>107</v>
      </c>
      <c r="B148" s="79"/>
      <c r="C148" s="1"/>
      <c r="D148" s="58" t="s">
        <v>108</v>
      </c>
      <c r="E148" s="8">
        <f>587.99*3*1/27</f>
        <v>65.332222222222228</v>
      </c>
      <c r="F148" s="9">
        <v>0.1</v>
      </c>
      <c r="G148" s="10">
        <f t="shared" ref="G148:G149" si="142">E148*(1+F148)</f>
        <v>71.865444444444464</v>
      </c>
      <c r="H148" s="4" t="s">
        <v>30</v>
      </c>
      <c r="I148" s="11">
        <v>0</v>
      </c>
      <c r="J148" s="12">
        <f t="shared" ref="J148:J152" si="143">+I148*G148</f>
        <v>0</v>
      </c>
      <c r="K148" s="13">
        <v>0</v>
      </c>
      <c r="L148" s="14">
        <f t="shared" ref="L148:L152" si="144">K148*J148</f>
        <v>0</v>
      </c>
      <c r="M148" s="14">
        <f t="shared" ref="M148:M152" si="145">N148*G148</f>
        <v>0</v>
      </c>
      <c r="N148" s="14">
        <v>0</v>
      </c>
      <c r="O148" s="14">
        <f>(I148*K148)+N148</f>
        <v>0</v>
      </c>
      <c r="P148" s="15">
        <f>O148*G148</f>
        <v>0</v>
      </c>
      <c r="Q148" s="37"/>
    </row>
    <row r="149" spans="1:17" ht="43.2">
      <c r="A149" s="36">
        <f>IF(G149&lt;&gt;"",1+MAX($A$1:A148),"")</f>
        <v>108</v>
      </c>
      <c r="B149" s="79"/>
      <c r="C149" s="1"/>
      <c r="D149" s="59" t="s">
        <v>104</v>
      </c>
      <c r="E149" s="8">
        <f>1.043*2352+0.668*1767</f>
        <v>3633.4920000000002</v>
      </c>
      <c r="F149" s="9">
        <v>0.05</v>
      </c>
      <c r="G149" s="10">
        <f t="shared" si="142"/>
        <v>3815.1666000000005</v>
      </c>
      <c r="H149" s="4" t="s">
        <v>35</v>
      </c>
      <c r="I149" s="11">
        <v>0</v>
      </c>
      <c r="J149" s="12">
        <f t="shared" si="143"/>
        <v>0</v>
      </c>
      <c r="K149" s="13">
        <v>0</v>
      </c>
      <c r="L149" s="14">
        <f t="shared" si="144"/>
        <v>0</v>
      </c>
      <c r="M149" s="14">
        <f t="shared" si="145"/>
        <v>0</v>
      </c>
      <c r="N149" s="14">
        <v>0</v>
      </c>
      <c r="O149" s="14">
        <f>(I149*K149)+N149</f>
        <v>0</v>
      </c>
      <c r="P149" s="15">
        <f>O149*G149</f>
        <v>0</v>
      </c>
      <c r="Q149" s="37"/>
    </row>
    <row r="150" spans="1:17" ht="15.6">
      <c r="A150" s="36">
        <f>IF(G150&lt;&gt;"",1+MAX($A$1:A149),"")</f>
        <v>109</v>
      </c>
      <c r="B150" s="79"/>
      <c r="C150" s="1"/>
      <c r="D150" s="58" t="s">
        <v>31</v>
      </c>
      <c r="E150" s="8">
        <f>587.99*2*1</f>
        <v>1175.98</v>
      </c>
      <c r="F150" s="9">
        <v>0.1</v>
      </c>
      <c r="G150" s="10">
        <f t="shared" ref="G150" si="146">E150*(1+F150)</f>
        <v>1293.5780000000002</v>
      </c>
      <c r="H150" s="4" t="s">
        <v>32</v>
      </c>
      <c r="I150" s="11">
        <v>0</v>
      </c>
      <c r="J150" s="12">
        <f t="shared" si="143"/>
        <v>0</v>
      </c>
      <c r="K150" s="13">
        <v>0</v>
      </c>
      <c r="L150" s="14">
        <f t="shared" si="144"/>
        <v>0</v>
      </c>
      <c r="M150" s="14">
        <f t="shared" si="145"/>
        <v>0</v>
      </c>
      <c r="N150" s="14">
        <v>0</v>
      </c>
      <c r="O150" s="14">
        <f>(I150*K150)+N150</f>
        <v>0</v>
      </c>
      <c r="P150" s="15">
        <f>O150*G150</f>
        <v>0</v>
      </c>
      <c r="Q150" s="37"/>
    </row>
    <row r="151" spans="1:17" ht="15.6">
      <c r="A151" s="36">
        <f>IF(G151&lt;&gt;"",1+MAX($A$1:A150),"")</f>
        <v>110</v>
      </c>
      <c r="B151" s="79"/>
      <c r="C151" s="1"/>
      <c r="D151" s="58" t="s">
        <v>44</v>
      </c>
      <c r="E151" s="8">
        <f>587.99*4*1/27</f>
        <v>87.109629629629637</v>
      </c>
      <c r="F151" s="9">
        <v>0.1</v>
      </c>
      <c r="G151" s="10">
        <f t="shared" ref="G151:G152" si="147">E151*(1+F151)</f>
        <v>95.820592592592604</v>
      </c>
      <c r="H151" s="4" t="s">
        <v>30</v>
      </c>
      <c r="I151" s="11">
        <v>0</v>
      </c>
      <c r="J151" s="12">
        <f t="shared" si="143"/>
        <v>0</v>
      </c>
      <c r="K151" s="13">
        <v>0</v>
      </c>
      <c r="L151" s="14">
        <f t="shared" si="144"/>
        <v>0</v>
      </c>
      <c r="M151" s="14">
        <f t="shared" si="145"/>
        <v>0</v>
      </c>
      <c r="N151" s="14">
        <v>0</v>
      </c>
      <c r="O151" s="14">
        <f>(I151*K151)+N151</f>
        <v>0</v>
      </c>
      <c r="P151" s="15">
        <f>O151*G151</f>
        <v>0</v>
      </c>
      <c r="Q151" s="37"/>
    </row>
    <row r="152" spans="1:17" ht="15.6">
      <c r="A152" s="36">
        <f>IF(G152&lt;&gt;"",1+MAX($A$1:A151),"")</f>
        <v>111</v>
      </c>
      <c r="B152" s="79"/>
      <c r="C152" s="1"/>
      <c r="D152" s="58" t="s">
        <v>45</v>
      </c>
      <c r="E152" s="8">
        <f>E151-E148</f>
        <v>21.777407407407409</v>
      </c>
      <c r="F152" s="9">
        <v>0.1</v>
      </c>
      <c r="G152" s="10">
        <f t="shared" si="147"/>
        <v>23.955148148148151</v>
      </c>
      <c r="H152" s="4" t="s">
        <v>30</v>
      </c>
      <c r="I152" s="11">
        <v>0</v>
      </c>
      <c r="J152" s="12">
        <f t="shared" si="143"/>
        <v>0</v>
      </c>
      <c r="K152" s="13">
        <v>0</v>
      </c>
      <c r="L152" s="14">
        <f t="shared" si="144"/>
        <v>0</v>
      </c>
      <c r="M152" s="14">
        <f t="shared" si="145"/>
        <v>0</v>
      </c>
      <c r="N152" s="14">
        <v>0</v>
      </c>
      <c r="O152" s="14">
        <f>(I152*K152)+N152</f>
        <v>0</v>
      </c>
      <c r="P152" s="15">
        <f>O152*G152</f>
        <v>0</v>
      </c>
      <c r="Q152" s="37"/>
    </row>
    <row r="153" spans="1:17" ht="15.6">
      <c r="A153" s="36" t="str">
        <f>IF(G153&lt;&gt;"",1+MAX($A$1:A152),"")</f>
        <v/>
      </c>
      <c r="B153" s="79"/>
      <c r="C153" s="1"/>
      <c r="D153" s="58" t="s">
        <v>105</v>
      </c>
      <c r="E153" s="8"/>
      <c r="F153" s="4"/>
      <c r="G153" s="4"/>
      <c r="H153" s="4"/>
      <c r="I153" s="11"/>
      <c r="J153" s="12"/>
      <c r="K153" s="13"/>
      <c r="L153" s="14"/>
      <c r="M153" s="14"/>
      <c r="N153" s="14"/>
      <c r="O153" s="14"/>
      <c r="P153" s="15"/>
      <c r="Q153" s="37"/>
    </row>
    <row r="154" spans="1:17" ht="15.6">
      <c r="A154" s="36">
        <f>IF(G154&lt;&gt;"",1+MAX($A$1:A153),"")</f>
        <v>112</v>
      </c>
      <c r="B154" s="79"/>
      <c r="C154" s="1"/>
      <c r="D154" s="58" t="s">
        <v>109</v>
      </c>
      <c r="E154" s="8">
        <f>392.93*4*1/27</f>
        <v>58.211851851851854</v>
      </c>
      <c r="F154" s="9">
        <v>0.1</v>
      </c>
      <c r="G154" s="10">
        <f t="shared" ref="G154:G155" si="148">E154*(1+F154)</f>
        <v>64.033037037037047</v>
      </c>
      <c r="H154" s="4" t="s">
        <v>30</v>
      </c>
      <c r="I154" s="11">
        <v>0</v>
      </c>
      <c r="J154" s="12">
        <f t="shared" ref="J154:J158" si="149">+I154*G154</f>
        <v>0</v>
      </c>
      <c r="K154" s="13">
        <v>0</v>
      </c>
      <c r="L154" s="14">
        <f t="shared" ref="L154:L158" si="150">K154*J154</f>
        <v>0</v>
      </c>
      <c r="M154" s="14">
        <f t="shared" ref="M154:M158" si="151">N154*G154</f>
        <v>0</v>
      </c>
      <c r="N154" s="14">
        <v>0</v>
      </c>
      <c r="O154" s="14">
        <f>(I154*K154)+N154</f>
        <v>0</v>
      </c>
      <c r="P154" s="15">
        <f>O154*G154</f>
        <v>0</v>
      </c>
      <c r="Q154" s="37"/>
    </row>
    <row r="155" spans="1:17" ht="43.2">
      <c r="A155" s="36">
        <f>IF(G155&lt;&gt;"",1+MAX($A$1:A154),"")</f>
        <v>113</v>
      </c>
      <c r="B155" s="79"/>
      <c r="C155" s="1"/>
      <c r="D155" s="59" t="s">
        <v>106</v>
      </c>
      <c r="E155" s="8">
        <f>1.043*1572+0.668*1576</f>
        <v>2692.3639999999996</v>
      </c>
      <c r="F155" s="9">
        <v>0.05</v>
      </c>
      <c r="G155" s="10">
        <f t="shared" si="148"/>
        <v>2826.9821999999995</v>
      </c>
      <c r="H155" s="4" t="s">
        <v>35</v>
      </c>
      <c r="I155" s="11">
        <v>0</v>
      </c>
      <c r="J155" s="12">
        <f t="shared" si="149"/>
        <v>0</v>
      </c>
      <c r="K155" s="13">
        <v>0</v>
      </c>
      <c r="L155" s="14">
        <f t="shared" si="150"/>
        <v>0</v>
      </c>
      <c r="M155" s="14">
        <f t="shared" si="151"/>
        <v>0</v>
      </c>
      <c r="N155" s="14">
        <v>0</v>
      </c>
      <c r="O155" s="14">
        <f>(I155*K155)+N155</f>
        <v>0</v>
      </c>
      <c r="P155" s="15">
        <f>O155*G155</f>
        <v>0</v>
      </c>
      <c r="Q155" s="37"/>
    </row>
    <row r="156" spans="1:17" ht="15.6">
      <c r="A156" s="36">
        <f>IF(G156&lt;&gt;"",1+MAX($A$1:A155),"")</f>
        <v>114</v>
      </c>
      <c r="B156" s="79"/>
      <c r="C156" s="1"/>
      <c r="D156" s="58" t="s">
        <v>31</v>
      </c>
      <c r="E156" s="8">
        <f>392.93*2*1</f>
        <v>785.86</v>
      </c>
      <c r="F156" s="9">
        <v>0.1</v>
      </c>
      <c r="G156" s="10">
        <f t="shared" ref="G156" si="152">E156*(1+F156)</f>
        <v>864.44600000000014</v>
      </c>
      <c r="H156" s="4" t="s">
        <v>32</v>
      </c>
      <c r="I156" s="11">
        <v>0</v>
      </c>
      <c r="J156" s="12">
        <f t="shared" si="149"/>
        <v>0</v>
      </c>
      <c r="K156" s="13">
        <v>0</v>
      </c>
      <c r="L156" s="14">
        <f t="shared" si="150"/>
        <v>0</v>
      </c>
      <c r="M156" s="14">
        <f t="shared" si="151"/>
        <v>0</v>
      </c>
      <c r="N156" s="14">
        <v>0</v>
      </c>
      <c r="O156" s="14">
        <f>(I156*K156)+N156</f>
        <v>0</v>
      </c>
      <c r="P156" s="15">
        <f>O156*G156</f>
        <v>0</v>
      </c>
      <c r="Q156" s="37"/>
    </row>
    <row r="157" spans="1:17" ht="15.6">
      <c r="A157" s="36">
        <f>IF(G157&lt;&gt;"",1+MAX($A$1:A156),"")</f>
        <v>115</v>
      </c>
      <c r="B157" s="79"/>
      <c r="C157" s="1"/>
      <c r="D157" s="58" t="s">
        <v>44</v>
      </c>
      <c r="E157" s="8">
        <f>392.93*1*2</f>
        <v>785.86</v>
      </c>
      <c r="F157" s="9">
        <v>0.1</v>
      </c>
      <c r="G157" s="10">
        <f t="shared" ref="G157:G158" si="153">E157*(1+F157)</f>
        <v>864.44600000000014</v>
      </c>
      <c r="H157" s="4" t="s">
        <v>30</v>
      </c>
      <c r="I157" s="11">
        <v>0</v>
      </c>
      <c r="J157" s="12">
        <f t="shared" si="149"/>
        <v>0</v>
      </c>
      <c r="K157" s="13">
        <v>0</v>
      </c>
      <c r="L157" s="14">
        <f t="shared" si="150"/>
        <v>0</v>
      </c>
      <c r="M157" s="14">
        <f t="shared" si="151"/>
        <v>0</v>
      </c>
      <c r="N157" s="14">
        <v>0</v>
      </c>
      <c r="O157" s="14">
        <f>(I157*K157)+N157</f>
        <v>0</v>
      </c>
      <c r="P157" s="15">
        <f>O157*G157</f>
        <v>0</v>
      </c>
      <c r="Q157" s="37"/>
    </row>
    <row r="158" spans="1:17" ht="15.6">
      <c r="A158" s="36">
        <f>IF(G158&lt;&gt;"",1+MAX($A$1:A157),"")</f>
        <v>116</v>
      </c>
      <c r="B158" s="79"/>
      <c r="C158" s="1"/>
      <c r="D158" s="58" t="s">
        <v>45</v>
      </c>
      <c r="E158" s="8">
        <f>E157-E154</f>
        <v>727.64814814814815</v>
      </c>
      <c r="F158" s="9">
        <v>0.1</v>
      </c>
      <c r="G158" s="10">
        <f t="shared" si="153"/>
        <v>800.41296296296298</v>
      </c>
      <c r="H158" s="4" t="s">
        <v>30</v>
      </c>
      <c r="I158" s="11">
        <v>0</v>
      </c>
      <c r="J158" s="12">
        <f t="shared" si="149"/>
        <v>0</v>
      </c>
      <c r="K158" s="13">
        <v>0</v>
      </c>
      <c r="L158" s="14">
        <f t="shared" si="150"/>
        <v>0</v>
      </c>
      <c r="M158" s="14">
        <f t="shared" si="151"/>
        <v>0</v>
      </c>
      <c r="N158" s="14">
        <v>0</v>
      </c>
      <c r="O158" s="14">
        <f>(I158*K158)+N158</f>
        <v>0</v>
      </c>
      <c r="P158" s="15">
        <f>O158*G158</f>
        <v>0</v>
      </c>
      <c r="Q158" s="37"/>
    </row>
    <row r="159" spans="1:17" ht="15.6">
      <c r="A159" s="36" t="str">
        <f>IF(G159&lt;&gt;"",1+MAX($A$1:A158),"")</f>
        <v/>
      </c>
      <c r="B159" s="79"/>
      <c r="C159" s="1"/>
      <c r="D159" s="58" t="s">
        <v>111</v>
      </c>
      <c r="E159" s="8"/>
      <c r="F159" s="4"/>
      <c r="G159" s="4"/>
      <c r="H159" s="4"/>
      <c r="I159" s="11"/>
      <c r="J159" s="12"/>
      <c r="K159" s="13"/>
      <c r="L159" s="14"/>
      <c r="M159" s="14"/>
      <c r="N159" s="14"/>
      <c r="O159" s="14"/>
      <c r="P159" s="15"/>
      <c r="Q159" s="37"/>
    </row>
    <row r="160" spans="1:17" ht="15.6">
      <c r="A160" s="36" t="str">
        <f>IF(G160&lt;&gt;"",1+MAX($A$1:A159),"")</f>
        <v/>
      </c>
      <c r="B160" s="79"/>
      <c r="C160" s="1"/>
      <c r="D160" s="58"/>
      <c r="E160" s="8"/>
      <c r="F160" s="4"/>
      <c r="G160" s="4"/>
      <c r="H160" s="4"/>
      <c r="I160" s="11"/>
      <c r="J160" s="12"/>
      <c r="K160" s="13"/>
      <c r="L160" s="14"/>
      <c r="M160" s="14"/>
      <c r="N160" s="14"/>
      <c r="O160" s="14"/>
      <c r="P160" s="15"/>
      <c r="Q160" s="37"/>
    </row>
    <row r="161" spans="1:17" ht="15.6">
      <c r="A161" s="36">
        <f>IF(G161&lt;&gt;"",1+MAX($A$1:A160),"")</f>
        <v>117</v>
      </c>
      <c r="B161" s="80"/>
      <c r="C161" s="1"/>
      <c r="D161" s="58" t="s">
        <v>110</v>
      </c>
      <c r="E161" s="8">
        <f>508.74*(2*0.33+0.33*0.67)/27</f>
        <v>16.601882</v>
      </c>
      <c r="F161" s="9">
        <v>0.1</v>
      </c>
      <c r="G161" s="10">
        <f t="shared" ref="G161" si="154">E161*(1+F161)</f>
        <v>18.2620702</v>
      </c>
      <c r="H161" s="4" t="s">
        <v>30</v>
      </c>
      <c r="I161" s="11">
        <v>0</v>
      </c>
      <c r="J161" s="12">
        <f t="shared" ref="J161" si="155">+I161*G161</f>
        <v>0</v>
      </c>
      <c r="K161" s="13">
        <v>0</v>
      </c>
      <c r="L161" s="14">
        <f t="shared" ref="L161" si="156">K161*J161</f>
        <v>0</v>
      </c>
      <c r="M161" s="14">
        <f t="shared" ref="M161" si="157">N161*G161</f>
        <v>0</v>
      </c>
      <c r="N161" s="14">
        <v>0</v>
      </c>
      <c r="O161" s="14">
        <f>(I161*K161)+N161</f>
        <v>0</v>
      </c>
      <c r="P161" s="15">
        <f>O161*G161</f>
        <v>0</v>
      </c>
      <c r="Q161" s="37"/>
    </row>
    <row r="162" spans="1:17" ht="15.6">
      <c r="A162" s="36" t="str">
        <f>IF(G162&lt;&gt;"",1+MAX($A$1:A161),"")</f>
        <v/>
      </c>
      <c r="B162" s="6"/>
      <c r="C162" s="1"/>
      <c r="D162" s="58"/>
      <c r="E162" s="8"/>
      <c r="F162" s="4"/>
      <c r="G162" s="4"/>
      <c r="H162" s="4"/>
      <c r="I162" s="11"/>
      <c r="J162" s="12"/>
      <c r="K162" s="13"/>
      <c r="L162" s="14"/>
      <c r="M162" s="14"/>
      <c r="N162" s="14"/>
      <c r="O162" s="14"/>
      <c r="P162" s="15"/>
      <c r="Q162" s="37"/>
    </row>
    <row r="163" spans="1:17" ht="15.6">
      <c r="A163" s="36" t="str">
        <f>IF(G163&lt;&gt;"",1+MAX($A$1:A162),"")</f>
        <v/>
      </c>
      <c r="B163" s="6"/>
      <c r="C163" s="1"/>
      <c r="D163" s="22" t="s">
        <v>94</v>
      </c>
      <c r="E163" s="8"/>
      <c r="F163" s="9"/>
      <c r="G163" s="10"/>
      <c r="H163" s="1"/>
      <c r="I163" s="11"/>
      <c r="J163" s="12"/>
      <c r="K163" s="13"/>
      <c r="L163" s="14"/>
      <c r="M163" s="14"/>
      <c r="N163" s="14"/>
      <c r="O163" s="14"/>
      <c r="P163" s="15"/>
      <c r="Q163" s="37"/>
    </row>
    <row r="164" spans="1:17" ht="15.6">
      <c r="A164" s="36">
        <f>IF(G164&lt;&gt;"",1+MAX($A$1:A163),"")</f>
        <v>118</v>
      </c>
      <c r="B164" s="78" t="s">
        <v>186</v>
      </c>
      <c r="C164" s="1"/>
      <c r="D164" s="58" t="s">
        <v>97</v>
      </c>
      <c r="E164" s="8">
        <f>6*2*2.5*24/27</f>
        <v>26.666666666666668</v>
      </c>
      <c r="F164" s="9">
        <v>0.1</v>
      </c>
      <c r="G164" s="10">
        <f t="shared" ref="G164:G165" si="158">E164*(1+F164)</f>
        <v>29.333333333333336</v>
      </c>
      <c r="H164" s="4" t="s">
        <v>30</v>
      </c>
      <c r="I164" s="11">
        <v>0</v>
      </c>
      <c r="J164" s="12">
        <f t="shared" ref="J164:J166" si="159">+I164*G164</f>
        <v>0</v>
      </c>
      <c r="K164" s="13">
        <v>0</v>
      </c>
      <c r="L164" s="14">
        <f t="shared" ref="L164:L166" si="160">K164*J164</f>
        <v>0</v>
      </c>
      <c r="M164" s="14">
        <f t="shared" ref="M164:M166" si="161">N164*G164</f>
        <v>0</v>
      </c>
      <c r="N164" s="14">
        <v>0</v>
      </c>
      <c r="O164" s="14">
        <f>(I164*K164)+N164</f>
        <v>0</v>
      </c>
      <c r="P164" s="15">
        <f>O164*G164</f>
        <v>0</v>
      </c>
      <c r="Q164" s="37"/>
    </row>
    <row r="165" spans="1:17" ht="43.2">
      <c r="A165" s="36">
        <f>IF(G165&lt;&gt;"",1+MAX($A$1:A164),"")</f>
        <v>119</v>
      </c>
      <c r="B165" s="84"/>
      <c r="C165" s="1"/>
      <c r="D165" s="59" t="s">
        <v>95</v>
      </c>
      <c r="E165" s="8">
        <f>2.04*864+0.668*1350</f>
        <v>2664.36</v>
      </c>
      <c r="F165" s="9">
        <v>0.05</v>
      </c>
      <c r="G165" s="10">
        <f t="shared" si="158"/>
        <v>2797.5780000000004</v>
      </c>
      <c r="H165" s="4" t="s">
        <v>35</v>
      </c>
      <c r="I165" s="11">
        <v>0</v>
      </c>
      <c r="J165" s="12">
        <f t="shared" si="159"/>
        <v>0</v>
      </c>
      <c r="K165" s="13">
        <v>0</v>
      </c>
      <c r="L165" s="14">
        <f t="shared" si="160"/>
        <v>0</v>
      </c>
      <c r="M165" s="14">
        <f t="shared" si="161"/>
        <v>0</v>
      </c>
      <c r="N165" s="14">
        <v>0</v>
      </c>
      <c r="O165" s="14">
        <f>(I165*K165)+N165</f>
        <v>0</v>
      </c>
      <c r="P165" s="15">
        <f>O165*G165</f>
        <v>0</v>
      </c>
      <c r="Q165" s="37"/>
    </row>
    <row r="166" spans="1:17" ht="15.6">
      <c r="A166" s="36">
        <f>IF(G166&lt;&gt;"",1+MAX($A$1:A165),"")</f>
        <v>120</v>
      </c>
      <c r="B166" s="84"/>
      <c r="C166" s="1"/>
      <c r="D166" s="58" t="s">
        <v>31</v>
      </c>
      <c r="E166" s="8">
        <f>6*9*24</f>
        <v>1296</v>
      </c>
      <c r="F166" s="9">
        <v>0.1</v>
      </c>
      <c r="G166" s="10">
        <f t="shared" ref="G166" si="162">E166*(1+F166)</f>
        <v>1425.6000000000001</v>
      </c>
      <c r="H166" s="4" t="s">
        <v>32</v>
      </c>
      <c r="I166" s="11">
        <v>0</v>
      </c>
      <c r="J166" s="12">
        <f t="shared" si="159"/>
        <v>0</v>
      </c>
      <c r="K166" s="13">
        <v>0</v>
      </c>
      <c r="L166" s="14">
        <f t="shared" si="160"/>
        <v>0</v>
      </c>
      <c r="M166" s="14">
        <f t="shared" si="161"/>
        <v>0</v>
      </c>
      <c r="N166" s="14">
        <v>0</v>
      </c>
      <c r="O166" s="14">
        <f>(I166*K166)+N166</f>
        <v>0</v>
      </c>
      <c r="P166" s="15">
        <f>O166*G166</f>
        <v>0</v>
      </c>
      <c r="Q166" s="37"/>
    </row>
    <row r="167" spans="1:17" ht="15.6">
      <c r="A167" s="36" t="str">
        <f>IF(G167&lt;&gt;"",1+MAX($A$1:A166),"")</f>
        <v/>
      </c>
      <c r="B167" s="84"/>
      <c r="C167" s="1"/>
      <c r="D167" s="58"/>
      <c r="E167" s="8"/>
      <c r="F167" s="4"/>
      <c r="G167" s="4"/>
      <c r="H167" s="4"/>
      <c r="I167" s="11"/>
      <c r="J167" s="12"/>
      <c r="K167" s="13"/>
      <c r="L167" s="14"/>
      <c r="M167" s="14"/>
      <c r="N167" s="14"/>
      <c r="O167" s="14"/>
      <c r="P167" s="15"/>
      <c r="Q167" s="37"/>
    </row>
    <row r="168" spans="1:17" ht="15.6">
      <c r="A168" s="36">
        <f>IF(G168&lt;&gt;"",1+MAX($A$1:A167),"")</f>
        <v>121</v>
      </c>
      <c r="B168" s="84"/>
      <c r="C168" s="1"/>
      <c r="D168" s="58" t="s">
        <v>98</v>
      </c>
      <c r="E168" s="8">
        <f>2*2.5*11/27</f>
        <v>2.0370370370370372</v>
      </c>
      <c r="F168" s="9">
        <v>0.1</v>
      </c>
      <c r="G168" s="10">
        <f t="shared" ref="G168:G169" si="163">E168*(1+F168)</f>
        <v>2.2407407407407409</v>
      </c>
      <c r="H168" s="4" t="s">
        <v>30</v>
      </c>
      <c r="I168" s="11">
        <v>0</v>
      </c>
      <c r="J168" s="12">
        <f t="shared" ref="J168:J170" si="164">+I168*G168</f>
        <v>0</v>
      </c>
      <c r="K168" s="13">
        <v>0</v>
      </c>
      <c r="L168" s="14">
        <f t="shared" ref="L168:L170" si="165">K168*J168</f>
        <v>0</v>
      </c>
      <c r="M168" s="14">
        <f t="shared" ref="M168:M170" si="166">N168*G168</f>
        <v>0</v>
      </c>
      <c r="N168" s="14">
        <v>0</v>
      </c>
      <c r="O168" s="14">
        <f>(I168*K168)+N168</f>
        <v>0</v>
      </c>
      <c r="P168" s="15">
        <f>O168*G168</f>
        <v>0</v>
      </c>
      <c r="Q168" s="37"/>
    </row>
    <row r="169" spans="1:17" ht="43.2">
      <c r="A169" s="36">
        <f>IF(G169&lt;&gt;"",1+MAX($A$1:A168),"")</f>
        <v>122</v>
      </c>
      <c r="B169" s="84"/>
      <c r="C169" s="1"/>
      <c r="D169" s="59" t="s">
        <v>96</v>
      </c>
      <c r="E169" s="8">
        <f>2.04*66+0.668*108</f>
        <v>206.78400000000002</v>
      </c>
      <c r="F169" s="9">
        <v>0.05</v>
      </c>
      <c r="G169" s="10">
        <f t="shared" si="163"/>
        <v>217.12320000000003</v>
      </c>
      <c r="H169" s="4" t="s">
        <v>35</v>
      </c>
      <c r="I169" s="11">
        <v>0</v>
      </c>
      <c r="J169" s="12">
        <f t="shared" si="164"/>
        <v>0</v>
      </c>
      <c r="K169" s="13">
        <v>0</v>
      </c>
      <c r="L169" s="14">
        <f t="shared" si="165"/>
        <v>0</v>
      </c>
      <c r="M169" s="14">
        <f t="shared" si="166"/>
        <v>0</v>
      </c>
      <c r="N169" s="14">
        <v>0</v>
      </c>
      <c r="O169" s="14">
        <f>(I169*K169)+N169</f>
        <v>0</v>
      </c>
      <c r="P169" s="15">
        <f>O169*G169</f>
        <v>0</v>
      </c>
      <c r="Q169" s="37"/>
    </row>
    <row r="170" spans="1:17" ht="15.6">
      <c r="A170" s="36">
        <f>IF(G170&lt;&gt;"",1+MAX($A$1:A169),"")</f>
        <v>123</v>
      </c>
      <c r="B170" s="84"/>
      <c r="C170" s="1"/>
      <c r="D170" s="58" t="s">
        <v>31</v>
      </c>
      <c r="E170" s="8">
        <f>1*9*11</f>
        <v>99</v>
      </c>
      <c r="F170" s="9">
        <v>0.1</v>
      </c>
      <c r="G170" s="10">
        <f t="shared" ref="G170" si="167">E170*(1+F170)</f>
        <v>108.9</v>
      </c>
      <c r="H170" s="4" t="s">
        <v>32</v>
      </c>
      <c r="I170" s="11">
        <v>0</v>
      </c>
      <c r="J170" s="12">
        <f t="shared" si="164"/>
        <v>0</v>
      </c>
      <c r="K170" s="13">
        <v>0</v>
      </c>
      <c r="L170" s="14">
        <f t="shared" si="165"/>
        <v>0</v>
      </c>
      <c r="M170" s="14">
        <f t="shared" si="166"/>
        <v>0</v>
      </c>
      <c r="N170" s="14">
        <v>0</v>
      </c>
      <c r="O170" s="14">
        <f>(I170*K170)+N170</f>
        <v>0</v>
      </c>
      <c r="P170" s="15">
        <f>O170*G170</f>
        <v>0</v>
      </c>
      <c r="Q170" s="37"/>
    </row>
    <row r="171" spans="1:17" ht="15.6">
      <c r="A171" s="36" t="str">
        <f>IF(G171&lt;&gt;"",1+MAX($A$1:A170),"")</f>
        <v/>
      </c>
      <c r="B171" s="84"/>
      <c r="C171" s="1"/>
      <c r="D171" s="58"/>
      <c r="E171" s="8"/>
      <c r="F171" s="4"/>
      <c r="G171" s="4"/>
      <c r="H171" s="4"/>
      <c r="I171" s="11"/>
      <c r="J171" s="12"/>
      <c r="K171" s="13"/>
      <c r="L171" s="14"/>
      <c r="M171" s="14"/>
      <c r="N171" s="14"/>
      <c r="O171" s="14"/>
      <c r="P171" s="15"/>
      <c r="Q171" s="37"/>
    </row>
    <row r="172" spans="1:17" ht="15.6">
      <c r="A172" s="36">
        <f>IF(G172&lt;&gt;"",1+MAX($A$1:A171),"")</f>
        <v>124</v>
      </c>
      <c r="B172" s="84"/>
      <c r="C172" s="1"/>
      <c r="D172" s="58" t="s">
        <v>99</v>
      </c>
      <c r="E172" s="8">
        <f>2*1.83*1.83*13/27</f>
        <v>3.2248666666666672</v>
      </c>
      <c r="F172" s="9">
        <v>0.1</v>
      </c>
      <c r="G172" s="10">
        <f t="shared" ref="G172:G173" si="168">E172*(1+F172)</f>
        <v>3.547353333333334</v>
      </c>
      <c r="H172" s="4" t="s">
        <v>30</v>
      </c>
      <c r="I172" s="11">
        <v>0</v>
      </c>
      <c r="J172" s="12">
        <f t="shared" ref="J172:J174" si="169">+I172*G172</f>
        <v>0</v>
      </c>
      <c r="K172" s="13">
        <v>0</v>
      </c>
      <c r="L172" s="14">
        <f t="shared" ref="L172:L174" si="170">K172*J172</f>
        <v>0</v>
      </c>
      <c r="M172" s="14">
        <f t="shared" ref="M172:M174" si="171">N172*G172</f>
        <v>0</v>
      </c>
      <c r="N172" s="14">
        <v>0</v>
      </c>
      <c r="O172" s="14">
        <f>(I172*K172)+N172</f>
        <v>0</v>
      </c>
      <c r="P172" s="15">
        <f>O172*G172</f>
        <v>0</v>
      </c>
      <c r="Q172" s="37"/>
    </row>
    <row r="173" spans="1:17" ht="57.6">
      <c r="A173" s="36">
        <f>IF(G173&lt;&gt;"",1+MAX($A$1:A172),"")</f>
        <v>125</v>
      </c>
      <c r="B173" s="84"/>
      <c r="C173" s="1"/>
      <c r="D173" s="59" t="s">
        <v>100</v>
      </c>
      <c r="E173" s="8">
        <f>2.04*156+0.668*205</f>
        <v>455.18</v>
      </c>
      <c r="F173" s="9">
        <v>0.05</v>
      </c>
      <c r="G173" s="10">
        <f t="shared" si="168"/>
        <v>477.93900000000002</v>
      </c>
      <c r="H173" s="4" t="s">
        <v>35</v>
      </c>
      <c r="I173" s="11">
        <v>0</v>
      </c>
      <c r="J173" s="12">
        <f t="shared" si="169"/>
        <v>0</v>
      </c>
      <c r="K173" s="13">
        <v>0</v>
      </c>
      <c r="L173" s="14">
        <f t="shared" si="170"/>
        <v>0</v>
      </c>
      <c r="M173" s="14">
        <f t="shared" si="171"/>
        <v>0</v>
      </c>
      <c r="N173" s="14">
        <v>0</v>
      </c>
      <c r="O173" s="14">
        <f>(I173*K173)+N173</f>
        <v>0</v>
      </c>
      <c r="P173" s="15">
        <f>O173*G173</f>
        <v>0</v>
      </c>
      <c r="Q173" s="37"/>
    </row>
    <row r="174" spans="1:17" ht="15.6">
      <c r="A174" s="36">
        <f>IF(G174&lt;&gt;"",1+MAX($A$1:A173),"")</f>
        <v>126</v>
      </c>
      <c r="B174" s="85"/>
      <c r="C174" s="1"/>
      <c r="D174" s="58" t="s">
        <v>31</v>
      </c>
      <c r="E174" s="8">
        <f>2*(1.83*4)*13</f>
        <v>190.32</v>
      </c>
      <c r="F174" s="9">
        <v>0.1</v>
      </c>
      <c r="G174" s="10">
        <f t="shared" ref="G174" si="172">E174*(1+F174)</f>
        <v>209.352</v>
      </c>
      <c r="H174" s="4" t="s">
        <v>32</v>
      </c>
      <c r="I174" s="11">
        <v>0</v>
      </c>
      <c r="J174" s="12">
        <f t="shared" si="169"/>
        <v>0</v>
      </c>
      <c r="K174" s="13">
        <v>0</v>
      </c>
      <c r="L174" s="14">
        <f t="shared" si="170"/>
        <v>0</v>
      </c>
      <c r="M174" s="14">
        <f t="shared" si="171"/>
        <v>0</v>
      </c>
      <c r="N174" s="14">
        <v>0</v>
      </c>
      <c r="O174" s="14">
        <f>(I174*K174)+N174</f>
        <v>0</v>
      </c>
      <c r="P174" s="15">
        <f>O174*G174</f>
        <v>0</v>
      </c>
      <c r="Q174" s="37"/>
    </row>
    <row r="175" spans="1:17" ht="15.6">
      <c r="A175" s="36" t="str">
        <f>IF(G175&lt;&gt;"",1+MAX($A$1:A174),"")</f>
        <v/>
      </c>
      <c r="B175" s="6"/>
      <c r="C175" s="1"/>
      <c r="D175" s="58"/>
      <c r="E175" s="8"/>
      <c r="F175" s="4"/>
      <c r="G175" s="4"/>
      <c r="H175" s="4"/>
      <c r="I175" s="11"/>
      <c r="J175" s="12"/>
      <c r="K175" s="13"/>
      <c r="L175" s="14"/>
      <c r="M175" s="14"/>
      <c r="N175" s="14"/>
      <c r="O175" s="14"/>
      <c r="P175" s="15"/>
      <c r="Q175" s="37"/>
    </row>
    <row r="176" spans="1:17" ht="15.6">
      <c r="A176" s="36" t="str">
        <f>IF(G176&lt;&gt;"",1+MAX($A$1:A175),"")</f>
        <v/>
      </c>
      <c r="B176" s="6"/>
      <c r="C176" s="1"/>
      <c r="D176" s="22" t="s">
        <v>101</v>
      </c>
      <c r="E176" s="8"/>
      <c r="F176" s="9"/>
      <c r="G176" s="10"/>
      <c r="H176" s="1"/>
      <c r="I176" s="11"/>
      <c r="J176" s="12"/>
      <c r="K176" s="13"/>
      <c r="L176" s="14"/>
      <c r="M176" s="14"/>
      <c r="N176" s="14"/>
      <c r="O176" s="14"/>
      <c r="P176" s="15"/>
      <c r="Q176" s="37"/>
    </row>
    <row r="177" spans="1:17" ht="15.6">
      <c r="A177" s="36">
        <f>IF(G177&lt;&gt;"",1+MAX($A$1:A176),"")</f>
        <v>127</v>
      </c>
      <c r="B177" s="63"/>
      <c r="C177" s="1"/>
      <c r="D177" s="58" t="s">
        <v>102</v>
      </c>
      <c r="E177" s="8">
        <f>25*3.1416*(0.5*0.5+4*2.83*2.83)/27</f>
        <v>93.915223111111104</v>
      </c>
      <c r="F177" s="9">
        <v>0.1</v>
      </c>
      <c r="G177" s="10">
        <f t="shared" ref="G177" si="173">E177*(1+F177)</f>
        <v>103.30674542222222</v>
      </c>
      <c r="H177" s="4" t="s">
        <v>30</v>
      </c>
      <c r="I177" s="11">
        <v>0</v>
      </c>
      <c r="J177" s="12">
        <f t="shared" ref="J177" si="174">+I177*G177</f>
        <v>0</v>
      </c>
      <c r="K177" s="13">
        <v>0</v>
      </c>
      <c r="L177" s="14">
        <f t="shared" ref="L177" si="175">K177*J177</f>
        <v>0</v>
      </c>
      <c r="M177" s="14">
        <f t="shared" ref="M177" si="176">N177*G177</f>
        <v>0</v>
      </c>
      <c r="N177" s="14">
        <v>0</v>
      </c>
      <c r="O177" s="14">
        <f>(I177*K177)+N177</f>
        <v>0</v>
      </c>
      <c r="P177" s="15">
        <f>O177*G177</f>
        <v>0</v>
      </c>
      <c r="Q177" s="37"/>
    </row>
    <row r="178" spans="1:17" ht="15.6">
      <c r="A178" s="36" t="str">
        <f>IF(G178&lt;&gt;"",1+MAX($A$1:A177),"")</f>
        <v/>
      </c>
      <c r="B178" s="6"/>
      <c r="C178" s="1"/>
      <c r="D178" s="2"/>
      <c r="E178" s="8"/>
      <c r="F178" s="9"/>
      <c r="G178" s="10"/>
      <c r="H178" s="1"/>
      <c r="I178" s="11"/>
      <c r="J178" s="12"/>
      <c r="K178" s="13"/>
      <c r="L178" s="14"/>
      <c r="M178" s="14"/>
      <c r="N178" s="14"/>
      <c r="O178" s="14"/>
      <c r="P178" s="15"/>
      <c r="Q178" s="37"/>
    </row>
    <row r="179" spans="1:17" ht="15.6">
      <c r="A179" s="36" t="str">
        <f>IF(G179&lt;&gt;"",1+MAX($A$1:A178),"")</f>
        <v/>
      </c>
      <c r="B179" s="6"/>
      <c r="C179" s="1"/>
      <c r="D179" s="22" t="s">
        <v>112</v>
      </c>
      <c r="E179" s="8"/>
      <c r="F179" s="9"/>
      <c r="G179" s="10"/>
      <c r="H179" s="1"/>
      <c r="I179" s="11"/>
      <c r="J179" s="12"/>
      <c r="K179" s="13"/>
      <c r="L179" s="14"/>
      <c r="M179" s="14"/>
      <c r="N179" s="14"/>
      <c r="O179" s="14"/>
      <c r="P179" s="15"/>
      <c r="Q179" s="37"/>
    </row>
    <row r="180" spans="1:17" ht="15.6">
      <c r="A180" s="36">
        <f>IF(G180&lt;&gt;"",1+MAX($A$1:A179),"")</f>
        <v>128</v>
      </c>
      <c r="B180" s="78" t="s">
        <v>186</v>
      </c>
      <c r="C180" s="1"/>
      <c r="D180" s="58" t="s">
        <v>119</v>
      </c>
      <c r="E180" s="8">
        <f>143.43*1*5/27</f>
        <v>26.561111111111114</v>
      </c>
      <c r="F180" s="9">
        <v>0.1</v>
      </c>
      <c r="G180" s="10">
        <f t="shared" ref="G180:G181" si="177">E180*(1+F180)</f>
        <v>29.217222222222226</v>
      </c>
      <c r="H180" s="4" t="s">
        <v>30</v>
      </c>
      <c r="I180" s="11">
        <v>0</v>
      </c>
      <c r="J180" s="12">
        <f t="shared" ref="J180:J182" si="178">+I180*G180</f>
        <v>0</v>
      </c>
      <c r="K180" s="13">
        <v>0</v>
      </c>
      <c r="L180" s="14">
        <f t="shared" ref="L180:L182" si="179">K180*J180</f>
        <v>0</v>
      </c>
      <c r="M180" s="14">
        <f t="shared" ref="M180:M182" si="180">N180*G180</f>
        <v>0</v>
      </c>
      <c r="N180" s="14">
        <v>0</v>
      </c>
      <c r="O180" s="14">
        <f>(I180*K180)+N180</f>
        <v>0</v>
      </c>
      <c r="P180" s="15">
        <f>O180*G180</f>
        <v>0</v>
      </c>
      <c r="Q180" s="37"/>
    </row>
    <row r="181" spans="1:17" ht="43.2">
      <c r="A181" s="36">
        <f>IF(G181&lt;&gt;"",1+MAX($A$1:A180),"")</f>
        <v>129</v>
      </c>
      <c r="B181" s="84"/>
      <c r="C181" s="1"/>
      <c r="D181" s="59" t="s">
        <v>120</v>
      </c>
      <c r="E181" s="8">
        <f>2.04*2869</f>
        <v>5852.76</v>
      </c>
      <c r="F181" s="9">
        <v>0.05</v>
      </c>
      <c r="G181" s="10">
        <f t="shared" si="177"/>
        <v>6145.3980000000001</v>
      </c>
      <c r="H181" s="4" t="s">
        <v>35</v>
      </c>
      <c r="I181" s="11">
        <v>0</v>
      </c>
      <c r="J181" s="12">
        <f t="shared" si="178"/>
        <v>0</v>
      </c>
      <c r="K181" s="13">
        <v>0</v>
      </c>
      <c r="L181" s="14">
        <f t="shared" si="179"/>
        <v>0</v>
      </c>
      <c r="M181" s="14">
        <f t="shared" si="180"/>
        <v>0</v>
      </c>
      <c r="N181" s="14">
        <v>0</v>
      </c>
      <c r="O181" s="14">
        <f>(I181*K181)+N181</f>
        <v>0</v>
      </c>
      <c r="P181" s="15">
        <f>O181*G181</f>
        <v>0</v>
      </c>
      <c r="Q181" s="37"/>
    </row>
    <row r="182" spans="1:17" ht="15.6">
      <c r="A182" s="36">
        <f>IF(G182&lt;&gt;"",1+MAX($A$1:A181),"")</f>
        <v>130</v>
      </c>
      <c r="B182" s="84"/>
      <c r="C182" s="1"/>
      <c r="D182" s="58" t="s">
        <v>31</v>
      </c>
      <c r="E182" s="8">
        <f>143.43*2*5</f>
        <v>1434.3000000000002</v>
      </c>
      <c r="F182" s="9">
        <v>0.1</v>
      </c>
      <c r="G182" s="10">
        <f t="shared" ref="G182" si="181">E182*(1+F182)</f>
        <v>1577.7300000000002</v>
      </c>
      <c r="H182" s="4" t="s">
        <v>32</v>
      </c>
      <c r="I182" s="11">
        <v>0</v>
      </c>
      <c r="J182" s="12">
        <f t="shared" si="178"/>
        <v>0</v>
      </c>
      <c r="K182" s="13">
        <v>0</v>
      </c>
      <c r="L182" s="14">
        <f t="shared" si="179"/>
        <v>0</v>
      </c>
      <c r="M182" s="14">
        <f t="shared" si="180"/>
        <v>0</v>
      </c>
      <c r="N182" s="14">
        <v>0</v>
      </c>
      <c r="O182" s="14">
        <f>(I182*K182)+N182</f>
        <v>0</v>
      </c>
      <c r="P182" s="15">
        <f>O182*G182</f>
        <v>0</v>
      </c>
      <c r="Q182" s="37"/>
    </row>
    <row r="183" spans="1:17" ht="15.6">
      <c r="A183" s="36" t="str">
        <f>IF(G183&lt;&gt;"",1+MAX($A$1:A182),"")</f>
        <v/>
      </c>
      <c r="B183" s="84"/>
      <c r="C183" s="1"/>
      <c r="D183" s="58"/>
      <c r="E183" s="8"/>
      <c r="F183" s="4"/>
      <c r="G183" s="4"/>
      <c r="H183" s="4"/>
      <c r="I183" s="11"/>
      <c r="J183" s="12"/>
      <c r="K183" s="13"/>
      <c r="L183" s="14"/>
      <c r="M183" s="14"/>
      <c r="N183" s="14"/>
      <c r="O183" s="14"/>
      <c r="P183" s="15"/>
      <c r="Q183" s="37"/>
    </row>
    <row r="184" spans="1:17" ht="15.6">
      <c r="A184" s="36">
        <f>IF(G184&lt;&gt;"",1+MAX($A$1:A183),"")</f>
        <v>131</v>
      </c>
      <c r="B184" s="84"/>
      <c r="C184" s="1"/>
      <c r="D184" s="58" t="s">
        <v>121</v>
      </c>
      <c r="E184" s="8">
        <f>153.78*1*24/27</f>
        <v>136.69333333333336</v>
      </c>
      <c r="F184" s="9">
        <v>0.1</v>
      </c>
      <c r="G184" s="10">
        <f t="shared" ref="G184:G185" si="182">E184*(1+F184)</f>
        <v>150.36266666666671</v>
      </c>
      <c r="H184" s="4" t="s">
        <v>30</v>
      </c>
      <c r="I184" s="11">
        <v>0</v>
      </c>
      <c r="J184" s="12">
        <f t="shared" ref="J184:J186" si="183">+I184*G184</f>
        <v>0</v>
      </c>
      <c r="K184" s="13">
        <v>0</v>
      </c>
      <c r="L184" s="14">
        <f t="shared" ref="L184:L186" si="184">K184*J184</f>
        <v>0</v>
      </c>
      <c r="M184" s="14">
        <f t="shared" ref="M184:M186" si="185">N184*G184</f>
        <v>0</v>
      </c>
      <c r="N184" s="14">
        <v>0</v>
      </c>
      <c r="O184" s="14">
        <f>(I184*K184)+N184</f>
        <v>0</v>
      </c>
      <c r="P184" s="15">
        <f>O184*G184</f>
        <v>0</v>
      </c>
      <c r="Q184" s="37"/>
    </row>
    <row r="185" spans="1:17" ht="28.8">
      <c r="A185" s="36">
        <f>IF(G185&lt;&gt;"",1+MAX($A$1:A184),"")</f>
        <v>132</v>
      </c>
      <c r="B185" s="84"/>
      <c r="C185" s="1"/>
      <c r="D185" s="59" t="s">
        <v>113</v>
      </c>
      <c r="E185" s="8">
        <f>2.04*14763</f>
        <v>30116.52</v>
      </c>
      <c r="F185" s="9">
        <v>0.05</v>
      </c>
      <c r="G185" s="10">
        <f t="shared" si="182"/>
        <v>31622.346000000001</v>
      </c>
      <c r="H185" s="4" t="s">
        <v>35</v>
      </c>
      <c r="I185" s="11">
        <v>0</v>
      </c>
      <c r="J185" s="12">
        <f t="shared" si="183"/>
        <v>0</v>
      </c>
      <c r="K185" s="13">
        <v>0</v>
      </c>
      <c r="L185" s="14">
        <f t="shared" si="184"/>
        <v>0</v>
      </c>
      <c r="M185" s="14">
        <f t="shared" si="185"/>
        <v>0</v>
      </c>
      <c r="N185" s="14">
        <v>0</v>
      </c>
      <c r="O185" s="14">
        <f>(I185*K185)+N185</f>
        <v>0</v>
      </c>
      <c r="P185" s="15">
        <f>O185*G185</f>
        <v>0</v>
      </c>
      <c r="Q185" s="37"/>
    </row>
    <row r="186" spans="1:17" ht="15.6">
      <c r="A186" s="36">
        <f>IF(G186&lt;&gt;"",1+MAX($A$1:A185),"")</f>
        <v>133</v>
      </c>
      <c r="B186" s="84"/>
      <c r="C186" s="1"/>
      <c r="D186" s="58" t="s">
        <v>31</v>
      </c>
      <c r="E186" s="8">
        <f>153.78*2*24</f>
        <v>7381.4400000000005</v>
      </c>
      <c r="F186" s="9">
        <v>0.1</v>
      </c>
      <c r="G186" s="10">
        <f t="shared" ref="G186" si="186">E186*(1+F186)</f>
        <v>8119.5840000000017</v>
      </c>
      <c r="H186" s="4" t="s">
        <v>32</v>
      </c>
      <c r="I186" s="11">
        <v>0</v>
      </c>
      <c r="J186" s="12">
        <f t="shared" si="183"/>
        <v>0</v>
      </c>
      <c r="K186" s="13">
        <v>0</v>
      </c>
      <c r="L186" s="14">
        <f t="shared" si="184"/>
        <v>0</v>
      </c>
      <c r="M186" s="14">
        <f t="shared" si="185"/>
        <v>0</v>
      </c>
      <c r="N186" s="14">
        <v>0</v>
      </c>
      <c r="O186" s="14">
        <f>(I186*K186)+N186</f>
        <v>0</v>
      </c>
      <c r="P186" s="15">
        <f>O186*G186</f>
        <v>0</v>
      </c>
      <c r="Q186" s="37"/>
    </row>
    <row r="187" spans="1:17" ht="15.6">
      <c r="A187" s="36" t="str">
        <f>IF(G187&lt;&gt;"",1+MAX($A$1:A186),"")</f>
        <v/>
      </c>
      <c r="B187" s="84"/>
      <c r="C187" s="1"/>
      <c r="D187" s="58"/>
      <c r="E187" s="8"/>
      <c r="F187" s="4"/>
      <c r="G187" s="4"/>
      <c r="H187" s="4"/>
      <c r="I187" s="11"/>
      <c r="J187" s="12"/>
      <c r="K187" s="13"/>
      <c r="L187" s="14"/>
      <c r="M187" s="14"/>
      <c r="N187" s="14"/>
      <c r="O187" s="14"/>
      <c r="P187" s="15"/>
      <c r="Q187" s="37"/>
    </row>
    <row r="188" spans="1:17" ht="15.6">
      <c r="A188" s="36">
        <f>IF(G188&lt;&gt;"",1+MAX($A$1:A187),"")</f>
        <v>134</v>
      </c>
      <c r="B188" s="84"/>
      <c r="C188" s="1"/>
      <c r="D188" s="58" t="s">
        <v>122</v>
      </c>
      <c r="E188" s="8">
        <f>116.12*1*13/27</f>
        <v>55.909629629629627</v>
      </c>
      <c r="F188" s="9">
        <v>0.1</v>
      </c>
      <c r="G188" s="10">
        <f t="shared" ref="G188:G189" si="187">E188*(1+F188)</f>
        <v>61.500592592592596</v>
      </c>
      <c r="H188" s="4" t="s">
        <v>30</v>
      </c>
      <c r="I188" s="11">
        <v>0</v>
      </c>
      <c r="J188" s="12">
        <f t="shared" ref="J188:J190" si="188">+I188*G188</f>
        <v>0</v>
      </c>
      <c r="K188" s="13">
        <v>0</v>
      </c>
      <c r="L188" s="14">
        <f t="shared" ref="L188:L190" si="189">K188*J188</f>
        <v>0</v>
      </c>
      <c r="M188" s="14">
        <f t="shared" ref="M188:M190" si="190">N188*G188</f>
        <v>0</v>
      </c>
      <c r="N188" s="14">
        <v>0</v>
      </c>
      <c r="O188" s="14">
        <f>(I188*K188)+N188</f>
        <v>0</v>
      </c>
      <c r="P188" s="15">
        <f>O188*G188</f>
        <v>0</v>
      </c>
      <c r="Q188" s="37"/>
    </row>
    <row r="189" spans="1:17" ht="28.8">
      <c r="A189" s="36">
        <f>IF(G189&lt;&gt;"",1+MAX($A$1:A188),"")</f>
        <v>135</v>
      </c>
      <c r="B189" s="84"/>
      <c r="C189" s="1"/>
      <c r="D189" s="59" t="s">
        <v>114</v>
      </c>
      <c r="E189" s="8">
        <f>2.04*6039</f>
        <v>12319.56</v>
      </c>
      <c r="F189" s="9">
        <v>0.05</v>
      </c>
      <c r="G189" s="10">
        <f t="shared" si="187"/>
        <v>12935.538</v>
      </c>
      <c r="H189" s="4" t="s">
        <v>35</v>
      </c>
      <c r="I189" s="11">
        <v>0</v>
      </c>
      <c r="J189" s="12">
        <f t="shared" si="188"/>
        <v>0</v>
      </c>
      <c r="K189" s="13">
        <v>0</v>
      </c>
      <c r="L189" s="14">
        <f t="shared" si="189"/>
        <v>0</v>
      </c>
      <c r="M189" s="14">
        <f t="shared" si="190"/>
        <v>0</v>
      </c>
      <c r="N189" s="14">
        <v>0</v>
      </c>
      <c r="O189" s="14">
        <f>(I189*K189)+N189</f>
        <v>0</v>
      </c>
      <c r="P189" s="15">
        <f>O189*G189</f>
        <v>0</v>
      </c>
      <c r="Q189" s="37"/>
    </row>
    <row r="190" spans="1:17" ht="15.6">
      <c r="A190" s="36">
        <f>IF(G190&lt;&gt;"",1+MAX($A$1:A189),"")</f>
        <v>136</v>
      </c>
      <c r="B190" s="84"/>
      <c r="C190" s="1"/>
      <c r="D190" s="58" t="s">
        <v>31</v>
      </c>
      <c r="E190" s="8">
        <f>116.12*2*13</f>
        <v>3019.12</v>
      </c>
      <c r="F190" s="9">
        <v>0.1</v>
      </c>
      <c r="G190" s="10">
        <f t="shared" ref="G190" si="191">E190*(1+F190)</f>
        <v>3321.0320000000002</v>
      </c>
      <c r="H190" s="4" t="s">
        <v>32</v>
      </c>
      <c r="I190" s="11">
        <v>0</v>
      </c>
      <c r="J190" s="12">
        <f t="shared" si="188"/>
        <v>0</v>
      </c>
      <c r="K190" s="13">
        <v>0</v>
      </c>
      <c r="L190" s="14">
        <f t="shared" si="189"/>
        <v>0</v>
      </c>
      <c r="M190" s="14">
        <f t="shared" si="190"/>
        <v>0</v>
      </c>
      <c r="N190" s="14">
        <v>0</v>
      </c>
      <c r="O190" s="14">
        <f>(I190*K190)+N190</f>
        <v>0</v>
      </c>
      <c r="P190" s="15">
        <f>O190*G190</f>
        <v>0</v>
      </c>
      <c r="Q190" s="37"/>
    </row>
    <row r="191" spans="1:17" ht="15.6">
      <c r="A191" s="36" t="str">
        <f>IF(G191&lt;&gt;"",1+MAX($A$1:A190),"")</f>
        <v/>
      </c>
      <c r="B191" s="84"/>
      <c r="C191" s="1"/>
      <c r="D191" s="58"/>
      <c r="E191" s="8"/>
      <c r="F191" s="4"/>
      <c r="G191" s="4"/>
      <c r="H191" s="4"/>
      <c r="I191" s="11"/>
      <c r="J191" s="12"/>
      <c r="K191" s="13"/>
      <c r="L191" s="14"/>
      <c r="M191" s="14"/>
      <c r="N191" s="14"/>
      <c r="O191" s="14"/>
      <c r="P191" s="15"/>
      <c r="Q191" s="37"/>
    </row>
    <row r="192" spans="1:17" ht="15.6">
      <c r="A192" s="36">
        <f>IF(G192&lt;&gt;"",1+MAX($A$1:A191),"")</f>
        <v>137</v>
      </c>
      <c r="B192" s="84"/>
      <c r="C192" s="1"/>
      <c r="D192" s="58" t="s">
        <v>123</v>
      </c>
      <c r="E192" s="8">
        <f>15.14*0.67*13/27</f>
        <v>4.8840518518518525</v>
      </c>
      <c r="F192" s="9">
        <v>0.1</v>
      </c>
      <c r="G192" s="10">
        <f t="shared" ref="G192:G193" si="192">E192*(1+F192)</f>
        <v>5.3724570370370381</v>
      </c>
      <c r="H192" s="4" t="s">
        <v>30</v>
      </c>
      <c r="I192" s="11">
        <v>0</v>
      </c>
      <c r="J192" s="12">
        <f t="shared" ref="J192:J194" si="193">+I192*G192</f>
        <v>0</v>
      </c>
      <c r="K192" s="13">
        <v>0</v>
      </c>
      <c r="L192" s="14">
        <f t="shared" ref="L192:L194" si="194">K192*J192</f>
        <v>0</v>
      </c>
      <c r="M192" s="14">
        <f t="shared" ref="M192:M194" si="195">N192*G192</f>
        <v>0</v>
      </c>
      <c r="N192" s="14">
        <v>0</v>
      </c>
      <c r="O192" s="14">
        <f>(I192*K192)+N192</f>
        <v>0</v>
      </c>
      <c r="P192" s="15">
        <f>O192*G192</f>
        <v>0</v>
      </c>
      <c r="Q192" s="37"/>
    </row>
    <row r="193" spans="1:17" ht="28.8">
      <c r="A193" s="36">
        <f>IF(G193&lt;&gt;"",1+MAX($A$1:A192),"")</f>
        <v>138</v>
      </c>
      <c r="B193" s="84"/>
      <c r="C193" s="1"/>
      <c r="D193" s="59" t="s">
        <v>115</v>
      </c>
      <c r="E193" s="8">
        <f>1.502*394</f>
        <v>591.78800000000001</v>
      </c>
      <c r="F193" s="9">
        <v>0.05</v>
      </c>
      <c r="G193" s="10">
        <f t="shared" si="192"/>
        <v>621.37740000000008</v>
      </c>
      <c r="H193" s="4" t="s">
        <v>35</v>
      </c>
      <c r="I193" s="11">
        <v>0</v>
      </c>
      <c r="J193" s="12">
        <f t="shared" si="193"/>
        <v>0</v>
      </c>
      <c r="K193" s="13">
        <v>0</v>
      </c>
      <c r="L193" s="14">
        <f t="shared" si="194"/>
        <v>0</v>
      </c>
      <c r="M193" s="14">
        <f t="shared" si="195"/>
        <v>0</v>
      </c>
      <c r="N193" s="14">
        <v>0</v>
      </c>
      <c r="O193" s="14">
        <f>(I193*K193)+N193</f>
        <v>0</v>
      </c>
      <c r="P193" s="15">
        <f>O193*G193</f>
        <v>0</v>
      </c>
      <c r="Q193" s="37"/>
    </row>
    <row r="194" spans="1:17" ht="15.6">
      <c r="A194" s="36">
        <f>IF(G194&lt;&gt;"",1+MAX($A$1:A193),"")</f>
        <v>139</v>
      </c>
      <c r="B194" s="84"/>
      <c r="C194" s="1"/>
      <c r="D194" s="58" t="s">
        <v>31</v>
      </c>
      <c r="E194" s="8">
        <f>15.14*2*13</f>
        <v>393.64</v>
      </c>
      <c r="F194" s="9">
        <v>0.1</v>
      </c>
      <c r="G194" s="10">
        <f t="shared" ref="G194" si="196">E194*(1+F194)</f>
        <v>433.00400000000002</v>
      </c>
      <c r="H194" s="4" t="s">
        <v>32</v>
      </c>
      <c r="I194" s="11">
        <v>0</v>
      </c>
      <c r="J194" s="12">
        <f t="shared" si="193"/>
        <v>0</v>
      </c>
      <c r="K194" s="13">
        <v>0</v>
      </c>
      <c r="L194" s="14">
        <f t="shared" si="194"/>
        <v>0</v>
      </c>
      <c r="M194" s="14">
        <f t="shared" si="195"/>
        <v>0</v>
      </c>
      <c r="N194" s="14">
        <v>0</v>
      </c>
      <c r="O194" s="14">
        <f>(I194*K194)+N194</f>
        <v>0</v>
      </c>
      <c r="P194" s="15">
        <f>O194*G194</f>
        <v>0</v>
      </c>
      <c r="Q194" s="37"/>
    </row>
    <row r="195" spans="1:17" ht="15.6">
      <c r="A195" s="36" t="str">
        <f>IF(G195&lt;&gt;"",1+MAX($A$1:A194),"")</f>
        <v/>
      </c>
      <c r="B195" s="84"/>
      <c r="C195" s="1"/>
      <c r="D195" s="58"/>
      <c r="E195" s="8"/>
      <c r="F195" s="4"/>
      <c r="G195" s="4"/>
      <c r="H195" s="4"/>
      <c r="I195" s="11"/>
      <c r="J195" s="12"/>
      <c r="K195" s="13"/>
      <c r="L195" s="14"/>
      <c r="M195" s="14"/>
      <c r="N195" s="14"/>
      <c r="O195" s="14"/>
      <c r="P195" s="15"/>
      <c r="Q195" s="37"/>
    </row>
    <row r="196" spans="1:17" ht="15.6">
      <c r="A196" s="36">
        <f>IF(G196&lt;&gt;"",1+MAX($A$1:A195),"")</f>
        <v>140</v>
      </c>
      <c r="B196" s="84"/>
      <c r="C196" s="1"/>
      <c r="D196" s="58" t="s">
        <v>124</v>
      </c>
      <c r="E196" s="8">
        <f>57.07*0.67*2/27</f>
        <v>2.8323629629629634</v>
      </c>
      <c r="F196" s="9">
        <v>0.1</v>
      </c>
      <c r="G196" s="10">
        <f t="shared" ref="G196:G197" si="197">E196*(1+F196)</f>
        <v>3.1155992592592598</v>
      </c>
      <c r="H196" s="4" t="s">
        <v>30</v>
      </c>
      <c r="I196" s="11">
        <v>0</v>
      </c>
      <c r="J196" s="12">
        <f t="shared" ref="J196:J198" si="198">+I196*G196</f>
        <v>0</v>
      </c>
      <c r="K196" s="13">
        <v>0</v>
      </c>
      <c r="L196" s="14">
        <f t="shared" ref="L196:L198" si="199">K196*J196</f>
        <v>0</v>
      </c>
      <c r="M196" s="14">
        <f t="shared" ref="M196:M198" si="200">N196*G196</f>
        <v>0</v>
      </c>
      <c r="N196" s="14">
        <v>0</v>
      </c>
      <c r="O196" s="14">
        <f>(I196*K196)+N196</f>
        <v>0</v>
      </c>
      <c r="P196" s="15">
        <f>O196*G196</f>
        <v>0</v>
      </c>
      <c r="Q196" s="37"/>
    </row>
    <row r="197" spans="1:17" ht="28.8">
      <c r="A197" s="36">
        <f>IF(G197&lt;&gt;"",1+MAX($A$1:A196),"")</f>
        <v>141</v>
      </c>
      <c r="B197" s="84"/>
      <c r="C197" s="1"/>
      <c r="D197" s="59" t="s">
        <v>116</v>
      </c>
      <c r="E197" s="8">
        <f>1.043*230</f>
        <v>239.89</v>
      </c>
      <c r="F197" s="9">
        <v>0.05</v>
      </c>
      <c r="G197" s="10">
        <f t="shared" si="197"/>
        <v>251.8845</v>
      </c>
      <c r="H197" s="4" t="s">
        <v>35</v>
      </c>
      <c r="I197" s="11">
        <v>0</v>
      </c>
      <c r="J197" s="12">
        <f t="shared" si="198"/>
        <v>0</v>
      </c>
      <c r="K197" s="13">
        <v>0</v>
      </c>
      <c r="L197" s="14">
        <f t="shared" si="199"/>
        <v>0</v>
      </c>
      <c r="M197" s="14">
        <f t="shared" si="200"/>
        <v>0</v>
      </c>
      <c r="N197" s="14">
        <v>0</v>
      </c>
      <c r="O197" s="14">
        <f>(I197*K197)+N197</f>
        <v>0</v>
      </c>
      <c r="P197" s="15">
        <f>O197*G197</f>
        <v>0</v>
      </c>
      <c r="Q197" s="37"/>
    </row>
    <row r="198" spans="1:17" ht="15.6">
      <c r="A198" s="36">
        <f>IF(G198&lt;&gt;"",1+MAX($A$1:A197),"")</f>
        <v>142</v>
      </c>
      <c r="B198" s="84"/>
      <c r="C198" s="1"/>
      <c r="D198" s="58" t="s">
        <v>31</v>
      </c>
      <c r="E198" s="8">
        <f>57.07*2*2</f>
        <v>228.28</v>
      </c>
      <c r="F198" s="9">
        <v>0.1</v>
      </c>
      <c r="G198" s="10">
        <f t="shared" ref="G198" si="201">E198*(1+F198)</f>
        <v>251.10800000000003</v>
      </c>
      <c r="H198" s="4" t="s">
        <v>32</v>
      </c>
      <c r="I198" s="11">
        <v>0</v>
      </c>
      <c r="J198" s="12">
        <f t="shared" si="198"/>
        <v>0</v>
      </c>
      <c r="K198" s="13">
        <v>0</v>
      </c>
      <c r="L198" s="14">
        <f t="shared" si="199"/>
        <v>0</v>
      </c>
      <c r="M198" s="14">
        <f t="shared" si="200"/>
        <v>0</v>
      </c>
      <c r="N198" s="14">
        <v>0</v>
      </c>
      <c r="O198" s="14">
        <f>(I198*K198)+N198</f>
        <v>0</v>
      </c>
      <c r="P198" s="15">
        <f>O198*G198</f>
        <v>0</v>
      </c>
      <c r="Q198" s="37"/>
    </row>
    <row r="199" spans="1:17" ht="15.6">
      <c r="A199" s="36" t="str">
        <f>IF(G199&lt;&gt;"",1+MAX($A$1:A198),"")</f>
        <v/>
      </c>
      <c r="B199" s="84"/>
      <c r="C199" s="1"/>
      <c r="D199" s="58"/>
      <c r="E199" s="8"/>
      <c r="F199" s="4"/>
      <c r="G199" s="4"/>
      <c r="H199" s="4"/>
      <c r="I199" s="11"/>
      <c r="J199" s="12"/>
      <c r="K199" s="13"/>
      <c r="L199" s="14"/>
      <c r="M199" s="14"/>
      <c r="N199" s="14"/>
      <c r="O199" s="14"/>
      <c r="P199" s="15"/>
      <c r="Q199" s="37"/>
    </row>
    <row r="200" spans="1:17" ht="15.6">
      <c r="A200" s="36">
        <f>IF(G200&lt;&gt;"",1+MAX($A$1:A199),"")</f>
        <v>143</v>
      </c>
      <c r="B200" s="84"/>
      <c r="C200" s="1"/>
      <c r="D200" s="58" t="s">
        <v>125</v>
      </c>
      <c r="E200" s="8">
        <f>3.38*0.67*2.67/27</f>
        <v>0.22394377777777777</v>
      </c>
      <c r="F200" s="9">
        <v>0.1</v>
      </c>
      <c r="G200" s="10">
        <f t="shared" ref="G200:G201" si="202">E200*(1+F200)</f>
        <v>0.24633815555555558</v>
      </c>
      <c r="H200" s="4" t="s">
        <v>30</v>
      </c>
      <c r="I200" s="11">
        <v>0</v>
      </c>
      <c r="J200" s="12">
        <f t="shared" ref="J200:J202" si="203">+I200*G200</f>
        <v>0</v>
      </c>
      <c r="K200" s="13">
        <v>0</v>
      </c>
      <c r="L200" s="14">
        <f t="shared" ref="L200:L202" si="204">K200*J200</f>
        <v>0</v>
      </c>
      <c r="M200" s="14">
        <f t="shared" ref="M200:M202" si="205">N200*G200</f>
        <v>0</v>
      </c>
      <c r="N200" s="14">
        <v>0</v>
      </c>
      <c r="O200" s="14">
        <f>(I200*K200)+N200</f>
        <v>0</v>
      </c>
      <c r="P200" s="15">
        <f>O200*G200</f>
        <v>0</v>
      </c>
      <c r="Q200" s="37"/>
    </row>
    <row r="201" spans="1:17" ht="28.8">
      <c r="A201" s="36">
        <f>IF(G201&lt;&gt;"",1+MAX($A$1:A200),"")</f>
        <v>144</v>
      </c>
      <c r="B201" s="84"/>
      <c r="C201" s="1"/>
      <c r="D201" s="59" t="s">
        <v>117</v>
      </c>
      <c r="E201" s="8">
        <f>1.043*20</f>
        <v>20.86</v>
      </c>
      <c r="F201" s="9">
        <v>0.05</v>
      </c>
      <c r="G201" s="10">
        <f t="shared" si="202"/>
        <v>21.902999999999999</v>
      </c>
      <c r="H201" s="4" t="s">
        <v>35</v>
      </c>
      <c r="I201" s="11">
        <v>0</v>
      </c>
      <c r="J201" s="12">
        <f t="shared" si="203"/>
        <v>0</v>
      </c>
      <c r="K201" s="13">
        <v>0</v>
      </c>
      <c r="L201" s="14">
        <f t="shared" si="204"/>
        <v>0</v>
      </c>
      <c r="M201" s="14">
        <f t="shared" si="205"/>
        <v>0</v>
      </c>
      <c r="N201" s="14">
        <v>0</v>
      </c>
      <c r="O201" s="14">
        <f>(I201*K201)+N201</f>
        <v>0</v>
      </c>
      <c r="P201" s="15">
        <f>O201*G201</f>
        <v>0</v>
      </c>
      <c r="Q201" s="37"/>
    </row>
    <row r="202" spans="1:17" ht="15.6">
      <c r="A202" s="36">
        <f>IF(G202&lt;&gt;"",1+MAX($A$1:A201),"")</f>
        <v>145</v>
      </c>
      <c r="B202" s="84"/>
      <c r="C202" s="1"/>
      <c r="D202" s="58" t="s">
        <v>31</v>
      </c>
      <c r="E202" s="8">
        <f>3.38*2*2.67</f>
        <v>18.049199999999999</v>
      </c>
      <c r="F202" s="9">
        <v>0.1</v>
      </c>
      <c r="G202" s="10">
        <f t="shared" ref="G202" si="206">E202*(1+F202)</f>
        <v>19.854120000000002</v>
      </c>
      <c r="H202" s="4" t="s">
        <v>32</v>
      </c>
      <c r="I202" s="11">
        <v>0</v>
      </c>
      <c r="J202" s="12">
        <f t="shared" si="203"/>
        <v>0</v>
      </c>
      <c r="K202" s="13">
        <v>0</v>
      </c>
      <c r="L202" s="14">
        <f t="shared" si="204"/>
        <v>0</v>
      </c>
      <c r="M202" s="14">
        <f t="shared" si="205"/>
        <v>0</v>
      </c>
      <c r="N202" s="14">
        <v>0</v>
      </c>
      <c r="O202" s="14">
        <f>(I202*K202)+N202</f>
        <v>0</v>
      </c>
      <c r="P202" s="15">
        <f>O202*G202</f>
        <v>0</v>
      </c>
      <c r="Q202" s="37"/>
    </row>
    <row r="203" spans="1:17" ht="15.6">
      <c r="A203" s="36" t="str">
        <f>IF(G203&lt;&gt;"",1+MAX($A$1:A202),"")</f>
        <v/>
      </c>
      <c r="B203" s="84"/>
      <c r="C203" s="1"/>
      <c r="D203" s="58"/>
      <c r="E203" s="8"/>
      <c r="F203" s="4"/>
      <c r="G203" s="4"/>
      <c r="H203" s="4"/>
      <c r="I203" s="11"/>
      <c r="J203" s="12"/>
      <c r="K203" s="13"/>
      <c r="L203" s="14"/>
      <c r="M203" s="14"/>
      <c r="N203" s="14"/>
      <c r="O203" s="14"/>
      <c r="P203" s="15"/>
      <c r="Q203" s="37"/>
    </row>
    <row r="204" spans="1:17" ht="15.6">
      <c r="A204" s="36">
        <f>IF(G204&lt;&gt;"",1+MAX($A$1:A203),"")</f>
        <v>146</v>
      </c>
      <c r="B204" s="84"/>
      <c r="C204" s="1"/>
      <c r="D204" s="58" t="s">
        <v>126</v>
      </c>
      <c r="E204" s="8">
        <f>170.76*0.67*4.67/27</f>
        <v>19.788554222222224</v>
      </c>
      <c r="F204" s="9">
        <v>0.1</v>
      </c>
      <c r="G204" s="10">
        <f t="shared" ref="G204:G205" si="207">E204*(1+F204)</f>
        <v>21.767409644444449</v>
      </c>
      <c r="H204" s="4" t="s">
        <v>30</v>
      </c>
      <c r="I204" s="11">
        <v>0</v>
      </c>
      <c r="J204" s="12">
        <f t="shared" ref="J204:J206" si="208">+I204*G204</f>
        <v>0</v>
      </c>
      <c r="K204" s="13">
        <v>0</v>
      </c>
      <c r="L204" s="14">
        <f t="shared" ref="L204:L206" si="209">K204*J204</f>
        <v>0</v>
      </c>
      <c r="M204" s="14">
        <f t="shared" ref="M204:M206" si="210">N204*G204</f>
        <v>0</v>
      </c>
      <c r="N204" s="14">
        <v>0</v>
      </c>
      <c r="O204" s="14">
        <f>(I204*K204)+N204</f>
        <v>0</v>
      </c>
      <c r="P204" s="15">
        <f>O204*G204</f>
        <v>0</v>
      </c>
      <c r="Q204" s="37"/>
    </row>
    <row r="205" spans="1:17" ht="28.8">
      <c r="A205" s="36">
        <f>IF(G205&lt;&gt;"",1+MAX($A$1:A204),"")</f>
        <v>147</v>
      </c>
      <c r="B205" s="84"/>
      <c r="C205" s="1"/>
      <c r="D205" s="59" t="s">
        <v>118</v>
      </c>
      <c r="E205" s="8">
        <f>1.043*1597</f>
        <v>1665.6709999999998</v>
      </c>
      <c r="F205" s="9">
        <v>0.05</v>
      </c>
      <c r="G205" s="10">
        <f t="shared" si="207"/>
        <v>1748.9545499999999</v>
      </c>
      <c r="H205" s="4" t="s">
        <v>35</v>
      </c>
      <c r="I205" s="11">
        <v>0</v>
      </c>
      <c r="J205" s="12">
        <f t="shared" si="208"/>
        <v>0</v>
      </c>
      <c r="K205" s="13">
        <v>0</v>
      </c>
      <c r="L205" s="14">
        <f t="shared" si="209"/>
        <v>0</v>
      </c>
      <c r="M205" s="14">
        <f t="shared" si="210"/>
        <v>0</v>
      </c>
      <c r="N205" s="14">
        <v>0</v>
      </c>
      <c r="O205" s="14">
        <f>(I205*K205)+N205</f>
        <v>0</v>
      </c>
      <c r="P205" s="15">
        <f>O205*G205</f>
        <v>0</v>
      </c>
      <c r="Q205" s="37"/>
    </row>
    <row r="206" spans="1:17" ht="15.6">
      <c r="A206" s="36">
        <f>IF(G206&lt;&gt;"",1+MAX($A$1:A205),"")</f>
        <v>148</v>
      </c>
      <c r="B206" s="85"/>
      <c r="C206" s="1"/>
      <c r="D206" s="58" t="s">
        <v>31</v>
      </c>
      <c r="E206" s="8">
        <f>170.76*2*4.67</f>
        <v>1594.8983999999998</v>
      </c>
      <c r="F206" s="9">
        <v>0.1</v>
      </c>
      <c r="G206" s="10">
        <f t="shared" ref="G206" si="211">E206*(1+F206)</f>
        <v>1754.38824</v>
      </c>
      <c r="H206" s="4" t="s">
        <v>32</v>
      </c>
      <c r="I206" s="11">
        <v>0</v>
      </c>
      <c r="J206" s="12">
        <f t="shared" si="208"/>
        <v>0</v>
      </c>
      <c r="K206" s="13">
        <v>0</v>
      </c>
      <c r="L206" s="14">
        <f t="shared" si="209"/>
        <v>0</v>
      </c>
      <c r="M206" s="14">
        <f t="shared" si="210"/>
        <v>0</v>
      </c>
      <c r="N206" s="14">
        <v>0</v>
      </c>
      <c r="O206" s="14">
        <f>(I206*K206)+N206</f>
        <v>0</v>
      </c>
      <c r="P206" s="15">
        <f>O206*G206</f>
        <v>0</v>
      </c>
      <c r="Q206" s="37"/>
    </row>
    <row r="207" spans="1:17" ht="15.6">
      <c r="A207" s="36" t="str">
        <f>IF(G207&lt;&gt;"",1+MAX($A$1:A206),"")</f>
        <v/>
      </c>
      <c r="B207" s="6"/>
      <c r="C207" s="1"/>
      <c r="D207" s="2"/>
      <c r="E207" s="8"/>
      <c r="F207" s="9"/>
      <c r="G207" s="10"/>
      <c r="H207" s="1"/>
      <c r="I207" s="11"/>
      <c r="J207" s="12"/>
      <c r="K207" s="13"/>
      <c r="L207" s="14"/>
      <c r="M207" s="14"/>
      <c r="N207" s="14"/>
      <c r="O207" s="14"/>
      <c r="P207" s="15"/>
      <c r="Q207" s="37"/>
    </row>
    <row r="208" spans="1:17" ht="15.6">
      <c r="A208" s="36" t="str">
        <f>IF(G208&lt;&gt;"",1+MAX($A$1:A207),"")</f>
        <v/>
      </c>
      <c r="B208" s="6"/>
      <c r="C208" s="1"/>
      <c r="D208" s="22" t="s">
        <v>127</v>
      </c>
      <c r="E208" s="8"/>
      <c r="F208" s="9"/>
      <c r="G208" s="10"/>
      <c r="H208" s="1"/>
      <c r="I208" s="11"/>
      <c r="J208" s="12"/>
      <c r="K208" s="13"/>
      <c r="L208" s="14"/>
      <c r="M208" s="14"/>
      <c r="N208" s="14"/>
      <c r="O208" s="14"/>
      <c r="P208" s="15"/>
      <c r="Q208" s="37"/>
    </row>
    <row r="209" spans="1:17" ht="15.6">
      <c r="A209" s="36">
        <f>IF(G209&lt;&gt;"",1+MAX($A$1:A208),"")</f>
        <v>149</v>
      </c>
      <c r="B209" s="78" t="s">
        <v>187</v>
      </c>
      <c r="C209" s="1"/>
      <c r="D209" s="58" t="s">
        <v>132</v>
      </c>
      <c r="E209" s="8">
        <f>70.81*2*3/27</f>
        <v>15.735555555555557</v>
      </c>
      <c r="F209" s="9">
        <v>0.1</v>
      </c>
      <c r="G209" s="10">
        <f t="shared" ref="G209:G210" si="212">E209*(1+F209)</f>
        <v>17.309111111111115</v>
      </c>
      <c r="H209" s="4" t="s">
        <v>30</v>
      </c>
      <c r="I209" s="11">
        <v>0</v>
      </c>
      <c r="J209" s="12">
        <f t="shared" ref="J209:J213" si="213">+I209*G209</f>
        <v>0</v>
      </c>
      <c r="K209" s="13">
        <v>0</v>
      </c>
      <c r="L209" s="14">
        <f t="shared" ref="L209:L213" si="214">K209*J209</f>
        <v>0</v>
      </c>
      <c r="M209" s="14">
        <f t="shared" ref="M209:M213" si="215">N209*G209</f>
        <v>0</v>
      </c>
      <c r="N209" s="14">
        <v>0</v>
      </c>
      <c r="O209" s="14">
        <f>(I209*K209)+N209</f>
        <v>0</v>
      </c>
      <c r="P209" s="15">
        <f>O209*G209</f>
        <v>0</v>
      </c>
      <c r="Q209" s="37"/>
    </row>
    <row r="210" spans="1:17" ht="57.6">
      <c r="A210" s="36">
        <f>IF(G210&lt;&gt;"",1+MAX($A$1:A209),"")</f>
        <v>150</v>
      </c>
      <c r="B210" s="79"/>
      <c r="C210" s="1"/>
      <c r="D210" s="59" t="s">
        <v>128</v>
      </c>
      <c r="E210" s="8">
        <f>2.67*566+1.502*354+0.668*760</f>
        <v>2550.6079999999997</v>
      </c>
      <c r="F210" s="9">
        <v>0.05</v>
      </c>
      <c r="G210" s="10">
        <f t="shared" si="212"/>
        <v>2678.1383999999998</v>
      </c>
      <c r="H210" s="4" t="s">
        <v>35</v>
      </c>
      <c r="I210" s="11">
        <v>0</v>
      </c>
      <c r="J210" s="12">
        <f t="shared" si="213"/>
        <v>0</v>
      </c>
      <c r="K210" s="13">
        <v>0</v>
      </c>
      <c r="L210" s="14">
        <f t="shared" si="214"/>
        <v>0</v>
      </c>
      <c r="M210" s="14">
        <f t="shared" si="215"/>
        <v>0</v>
      </c>
      <c r="N210" s="14">
        <v>0</v>
      </c>
      <c r="O210" s="14">
        <f>(I210*K210)+N210</f>
        <v>0</v>
      </c>
      <c r="P210" s="15">
        <f>O210*G210</f>
        <v>0</v>
      </c>
      <c r="Q210" s="37"/>
    </row>
    <row r="211" spans="1:17" ht="15.6">
      <c r="A211" s="36">
        <f>IF(G211&lt;&gt;"",1+MAX($A$1:A210),"")</f>
        <v>151</v>
      </c>
      <c r="B211" s="79"/>
      <c r="C211" s="1"/>
      <c r="D211" s="58" t="s">
        <v>31</v>
      </c>
      <c r="E211" s="8">
        <f>70.81*2*3</f>
        <v>424.86</v>
      </c>
      <c r="F211" s="9">
        <v>0.1</v>
      </c>
      <c r="G211" s="10">
        <f t="shared" ref="G211" si="216">E211*(1+F211)</f>
        <v>467.34600000000006</v>
      </c>
      <c r="H211" s="4" t="s">
        <v>32</v>
      </c>
      <c r="I211" s="11">
        <v>0</v>
      </c>
      <c r="J211" s="12">
        <f t="shared" si="213"/>
        <v>0</v>
      </c>
      <c r="K211" s="13">
        <v>0</v>
      </c>
      <c r="L211" s="14">
        <f t="shared" si="214"/>
        <v>0</v>
      </c>
      <c r="M211" s="14">
        <f t="shared" si="215"/>
        <v>0</v>
      </c>
      <c r="N211" s="14">
        <v>0</v>
      </c>
      <c r="O211" s="14">
        <f>(I211*K211)+N211</f>
        <v>0</v>
      </c>
      <c r="P211" s="15">
        <f>O211*G211</f>
        <v>0</v>
      </c>
      <c r="Q211" s="37"/>
    </row>
    <row r="212" spans="1:17" ht="15.6">
      <c r="A212" s="36">
        <f>IF(G212&lt;&gt;"",1+MAX($A$1:A211),"")</f>
        <v>152</v>
      </c>
      <c r="B212" s="79"/>
      <c r="C212" s="1"/>
      <c r="D212" s="58" t="s">
        <v>44</v>
      </c>
      <c r="E212" s="8">
        <f>70.81*3*3/27</f>
        <v>23.603333333333332</v>
      </c>
      <c r="F212" s="9">
        <v>0.1</v>
      </c>
      <c r="G212" s="10">
        <f t="shared" ref="G212:G213" si="217">E212*(1+F212)</f>
        <v>25.963666666666668</v>
      </c>
      <c r="H212" s="4" t="s">
        <v>30</v>
      </c>
      <c r="I212" s="11">
        <v>0</v>
      </c>
      <c r="J212" s="12">
        <f t="shared" si="213"/>
        <v>0</v>
      </c>
      <c r="K212" s="13">
        <v>0</v>
      </c>
      <c r="L212" s="14">
        <f t="shared" si="214"/>
        <v>0</v>
      </c>
      <c r="M212" s="14">
        <f t="shared" si="215"/>
        <v>0</v>
      </c>
      <c r="N212" s="14">
        <v>0</v>
      </c>
      <c r="O212" s="14">
        <f>(I212*K212)+N212</f>
        <v>0</v>
      </c>
      <c r="P212" s="15">
        <f>O212*G212</f>
        <v>0</v>
      </c>
      <c r="Q212" s="37"/>
    </row>
    <row r="213" spans="1:17" ht="15.6">
      <c r="A213" s="36">
        <f>IF(G213&lt;&gt;"",1+MAX($A$1:A212),"")</f>
        <v>153</v>
      </c>
      <c r="B213" s="79"/>
      <c r="C213" s="1"/>
      <c r="D213" s="58" t="s">
        <v>45</v>
      </c>
      <c r="E213" s="8">
        <f>E212-E209</f>
        <v>7.8677777777777749</v>
      </c>
      <c r="F213" s="9">
        <v>0.1</v>
      </c>
      <c r="G213" s="10">
        <f t="shared" si="217"/>
        <v>8.6545555555555538</v>
      </c>
      <c r="H213" s="4" t="s">
        <v>30</v>
      </c>
      <c r="I213" s="11">
        <v>0</v>
      </c>
      <c r="J213" s="12">
        <f t="shared" si="213"/>
        <v>0</v>
      </c>
      <c r="K213" s="13">
        <v>0</v>
      </c>
      <c r="L213" s="14">
        <f t="shared" si="214"/>
        <v>0</v>
      </c>
      <c r="M213" s="14">
        <f t="shared" si="215"/>
        <v>0</v>
      </c>
      <c r="N213" s="14">
        <v>0</v>
      </c>
      <c r="O213" s="14">
        <f>(I213*K213)+N213</f>
        <v>0</v>
      </c>
      <c r="P213" s="15">
        <f>O213*G213</f>
        <v>0</v>
      </c>
      <c r="Q213" s="37"/>
    </row>
    <row r="214" spans="1:17" ht="15.6">
      <c r="A214" s="36" t="str">
        <f>IF(G214&lt;&gt;"",1+MAX($A$1:A213),"")</f>
        <v/>
      </c>
      <c r="B214" s="79"/>
      <c r="C214" s="1"/>
      <c r="D214" s="58"/>
      <c r="E214" s="8"/>
      <c r="F214" s="4"/>
      <c r="G214" s="4"/>
      <c r="H214" s="4"/>
      <c r="I214" s="11"/>
      <c r="J214" s="12"/>
      <c r="K214" s="13"/>
      <c r="L214" s="14"/>
      <c r="M214" s="14"/>
      <c r="N214" s="14"/>
      <c r="O214" s="14"/>
      <c r="P214" s="15"/>
      <c r="Q214" s="37"/>
    </row>
    <row r="215" spans="1:17" ht="15.6">
      <c r="A215" s="36">
        <f>IF(G215&lt;&gt;"",1+MAX($A$1:A214),"")</f>
        <v>154</v>
      </c>
      <c r="B215" s="79"/>
      <c r="C215" s="1"/>
      <c r="D215" s="58" t="s">
        <v>133</v>
      </c>
      <c r="E215" s="8">
        <f>160.31*2.5*3/27</f>
        <v>44.530555555555551</v>
      </c>
      <c r="F215" s="9">
        <v>0.1</v>
      </c>
      <c r="G215" s="10">
        <f t="shared" ref="G215:G216" si="218">E215*(1+F215)</f>
        <v>48.983611111111109</v>
      </c>
      <c r="H215" s="4" t="s">
        <v>30</v>
      </c>
      <c r="I215" s="11">
        <v>0</v>
      </c>
      <c r="J215" s="12">
        <f t="shared" ref="J215:J219" si="219">+I215*G215</f>
        <v>0</v>
      </c>
      <c r="K215" s="13">
        <v>0</v>
      </c>
      <c r="L215" s="14">
        <f t="shared" ref="L215:L219" si="220">K215*J215</f>
        <v>0</v>
      </c>
      <c r="M215" s="14">
        <f t="shared" ref="M215:M219" si="221">N215*G215</f>
        <v>0</v>
      </c>
      <c r="N215" s="14">
        <v>0</v>
      </c>
      <c r="O215" s="14">
        <f>(I215*K215)+N215</f>
        <v>0</v>
      </c>
      <c r="P215" s="15">
        <f>O215*G215</f>
        <v>0</v>
      </c>
      <c r="Q215" s="37"/>
    </row>
    <row r="216" spans="1:17" ht="57.6">
      <c r="A216" s="36">
        <f>IF(G216&lt;&gt;"",1+MAX($A$1:A215),"")</f>
        <v>155</v>
      </c>
      <c r="B216" s="79"/>
      <c r="C216" s="1"/>
      <c r="D216" s="59" t="s">
        <v>129</v>
      </c>
      <c r="E216" s="8">
        <f>2.67*2565+1.502*802+0.668*1774</f>
        <v>9238.1860000000015</v>
      </c>
      <c r="F216" s="9">
        <v>0.05</v>
      </c>
      <c r="G216" s="10">
        <f t="shared" si="218"/>
        <v>9700.0953000000027</v>
      </c>
      <c r="H216" s="4" t="s">
        <v>35</v>
      </c>
      <c r="I216" s="11">
        <v>0</v>
      </c>
      <c r="J216" s="12">
        <f t="shared" si="219"/>
        <v>0</v>
      </c>
      <c r="K216" s="13">
        <v>0</v>
      </c>
      <c r="L216" s="14">
        <f t="shared" si="220"/>
        <v>0</v>
      </c>
      <c r="M216" s="14">
        <f t="shared" si="221"/>
        <v>0</v>
      </c>
      <c r="N216" s="14">
        <v>0</v>
      </c>
      <c r="O216" s="14">
        <f>(I216*K216)+N216</f>
        <v>0</v>
      </c>
      <c r="P216" s="15">
        <f>O216*G216</f>
        <v>0</v>
      </c>
      <c r="Q216" s="37"/>
    </row>
    <row r="217" spans="1:17" ht="15.6">
      <c r="A217" s="36">
        <f>IF(G217&lt;&gt;"",1+MAX($A$1:A216),"")</f>
        <v>156</v>
      </c>
      <c r="B217" s="79"/>
      <c r="C217" s="1"/>
      <c r="D217" s="58" t="s">
        <v>31</v>
      </c>
      <c r="E217" s="8">
        <f>160.31*2*3</f>
        <v>961.86</v>
      </c>
      <c r="F217" s="9">
        <v>0.1</v>
      </c>
      <c r="G217" s="10">
        <f t="shared" ref="G217" si="222">E217*(1+F217)</f>
        <v>1058.046</v>
      </c>
      <c r="H217" s="4" t="s">
        <v>32</v>
      </c>
      <c r="I217" s="11">
        <v>0</v>
      </c>
      <c r="J217" s="12">
        <f t="shared" si="219"/>
        <v>0</v>
      </c>
      <c r="K217" s="13">
        <v>0</v>
      </c>
      <c r="L217" s="14">
        <f t="shared" si="220"/>
        <v>0</v>
      </c>
      <c r="M217" s="14">
        <f t="shared" si="221"/>
        <v>0</v>
      </c>
      <c r="N217" s="14">
        <v>0</v>
      </c>
      <c r="O217" s="14">
        <f>(I217*K217)+N217</f>
        <v>0</v>
      </c>
      <c r="P217" s="15">
        <f>O217*G217</f>
        <v>0</v>
      </c>
      <c r="Q217" s="37"/>
    </row>
    <row r="218" spans="1:17" ht="15.6">
      <c r="A218" s="36">
        <f>IF(G218&lt;&gt;"",1+MAX($A$1:A217),"")</f>
        <v>157</v>
      </c>
      <c r="B218" s="79"/>
      <c r="C218" s="1"/>
      <c r="D218" s="58" t="s">
        <v>44</v>
      </c>
      <c r="E218" s="8">
        <f>160.31*4*3/27</f>
        <v>71.248888888888885</v>
      </c>
      <c r="F218" s="9">
        <v>0.1</v>
      </c>
      <c r="G218" s="10">
        <f t="shared" ref="G218:G219" si="223">E218*(1+F218)</f>
        <v>78.373777777777775</v>
      </c>
      <c r="H218" s="4" t="s">
        <v>30</v>
      </c>
      <c r="I218" s="11">
        <v>0</v>
      </c>
      <c r="J218" s="12">
        <f t="shared" si="219"/>
        <v>0</v>
      </c>
      <c r="K218" s="13">
        <v>0</v>
      </c>
      <c r="L218" s="14">
        <f t="shared" si="220"/>
        <v>0</v>
      </c>
      <c r="M218" s="14">
        <f t="shared" si="221"/>
        <v>0</v>
      </c>
      <c r="N218" s="14">
        <v>0</v>
      </c>
      <c r="O218" s="14">
        <f>(I218*K218)+N218</f>
        <v>0</v>
      </c>
      <c r="P218" s="15">
        <f>O218*G218</f>
        <v>0</v>
      </c>
      <c r="Q218" s="37"/>
    </row>
    <row r="219" spans="1:17" ht="15.6">
      <c r="A219" s="36">
        <f>IF(G219&lt;&gt;"",1+MAX($A$1:A218),"")</f>
        <v>158</v>
      </c>
      <c r="B219" s="79"/>
      <c r="C219" s="1"/>
      <c r="D219" s="58" t="s">
        <v>45</v>
      </c>
      <c r="E219" s="8">
        <f>E218-E215</f>
        <v>26.718333333333334</v>
      </c>
      <c r="F219" s="9">
        <v>0.1</v>
      </c>
      <c r="G219" s="10">
        <f t="shared" si="223"/>
        <v>29.390166666666669</v>
      </c>
      <c r="H219" s="4" t="s">
        <v>30</v>
      </c>
      <c r="I219" s="11">
        <v>0</v>
      </c>
      <c r="J219" s="12">
        <f t="shared" si="219"/>
        <v>0</v>
      </c>
      <c r="K219" s="13">
        <v>0</v>
      </c>
      <c r="L219" s="14">
        <f t="shared" si="220"/>
        <v>0</v>
      </c>
      <c r="M219" s="14">
        <f t="shared" si="221"/>
        <v>0</v>
      </c>
      <c r="N219" s="14">
        <v>0</v>
      </c>
      <c r="O219" s="14">
        <f>(I219*K219)+N219</f>
        <v>0</v>
      </c>
      <c r="P219" s="15">
        <f>O219*G219</f>
        <v>0</v>
      </c>
      <c r="Q219" s="37"/>
    </row>
    <row r="220" spans="1:17" ht="15.6">
      <c r="A220" s="36" t="str">
        <f>IF(G220&lt;&gt;"",1+MAX($A$1:A219),"")</f>
        <v/>
      </c>
      <c r="B220" s="79"/>
      <c r="C220" s="1"/>
      <c r="D220" s="58"/>
      <c r="E220" s="8"/>
      <c r="F220" s="4"/>
      <c r="G220" s="4"/>
      <c r="H220" s="4"/>
      <c r="I220" s="11"/>
      <c r="J220" s="12"/>
      <c r="K220" s="13"/>
      <c r="L220" s="14"/>
      <c r="M220" s="14"/>
      <c r="N220" s="14"/>
      <c r="O220" s="14"/>
      <c r="P220" s="15"/>
      <c r="Q220" s="37"/>
    </row>
    <row r="221" spans="1:17" ht="15.6">
      <c r="A221" s="36">
        <f>IF(G221&lt;&gt;"",1+MAX($A$1:A220),"")</f>
        <v>159</v>
      </c>
      <c r="B221" s="79"/>
      <c r="C221" s="1"/>
      <c r="D221" s="58" t="s">
        <v>134</v>
      </c>
      <c r="E221" s="8">
        <f>62.68*1*4/27</f>
        <v>9.285925925925925</v>
      </c>
      <c r="F221" s="9">
        <v>0.1</v>
      </c>
      <c r="G221" s="10">
        <f t="shared" ref="G221:G222" si="224">E221*(1+F221)</f>
        <v>10.214518518518519</v>
      </c>
      <c r="H221" s="4" t="s">
        <v>30</v>
      </c>
      <c r="I221" s="11">
        <v>0</v>
      </c>
      <c r="J221" s="12">
        <f t="shared" ref="J221:J225" si="225">+I221*G221</f>
        <v>0</v>
      </c>
      <c r="K221" s="13">
        <v>0</v>
      </c>
      <c r="L221" s="14">
        <f t="shared" ref="L221:L225" si="226">K221*J221</f>
        <v>0</v>
      </c>
      <c r="M221" s="14">
        <f t="shared" ref="M221:M225" si="227">N221*G221</f>
        <v>0</v>
      </c>
      <c r="N221" s="14">
        <v>0</v>
      </c>
      <c r="O221" s="14">
        <f>(I221*K221)+N221</f>
        <v>0</v>
      </c>
      <c r="P221" s="15">
        <f>O221*G221</f>
        <v>0</v>
      </c>
      <c r="Q221" s="37"/>
    </row>
    <row r="222" spans="1:17" ht="57.6">
      <c r="A222" s="36">
        <f>IF(G222&lt;&gt;"",1+MAX($A$1:A221),"")</f>
        <v>160</v>
      </c>
      <c r="B222" s="79"/>
      <c r="C222" s="1"/>
      <c r="D222" s="59" t="s">
        <v>130</v>
      </c>
      <c r="E222" s="8">
        <f>2.04*251+1.502*188+0.668*637</f>
        <v>1219.932</v>
      </c>
      <c r="F222" s="9">
        <v>0.05</v>
      </c>
      <c r="G222" s="10">
        <f t="shared" si="224"/>
        <v>1280.9286</v>
      </c>
      <c r="H222" s="4" t="s">
        <v>35</v>
      </c>
      <c r="I222" s="11">
        <v>0</v>
      </c>
      <c r="J222" s="12">
        <f t="shared" si="225"/>
        <v>0</v>
      </c>
      <c r="K222" s="13">
        <v>0</v>
      </c>
      <c r="L222" s="14">
        <f t="shared" si="226"/>
        <v>0</v>
      </c>
      <c r="M222" s="14">
        <f t="shared" si="227"/>
        <v>0</v>
      </c>
      <c r="N222" s="14">
        <v>0</v>
      </c>
      <c r="O222" s="14">
        <f>(I222*K222)+N222</f>
        <v>0</v>
      </c>
      <c r="P222" s="15">
        <f>O222*G222</f>
        <v>0</v>
      </c>
      <c r="Q222" s="37"/>
    </row>
    <row r="223" spans="1:17" ht="15.6">
      <c r="A223" s="36">
        <f>IF(G223&lt;&gt;"",1+MAX($A$1:A222),"")</f>
        <v>161</v>
      </c>
      <c r="B223" s="79"/>
      <c r="C223" s="1"/>
      <c r="D223" s="58" t="s">
        <v>31</v>
      </c>
      <c r="E223" s="8">
        <f>62.68*2*4</f>
        <v>501.44</v>
      </c>
      <c r="F223" s="9">
        <v>0.1</v>
      </c>
      <c r="G223" s="10">
        <f t="shared" ref="G223" si="228">E223*(1+F223)</f>
        <v>551.58400000000006</v>
      </c>
      <c r="H223" s="4" t="s">
        <v>32</v>
      </c>
      <c r="I223" s="11">
        <v>0</v>
      </c>
      <c r="J223" s="12">
        <f t="shared" si="225"/>
        <v>0</v>
      </c>
      <c r="K223" s="13">
        <v>0</v>
      </c>
      <c r="L223" s="14">
        <f t="shared" si="226"/>
        <v>0</v>
      </c>
      <c r="M223" s="14">
        <f t="shared" si="227"/>
        <v>0</v>
      </c>
      <c r="N223" s="14">
        <v>0</v>
      </c>
      <c r="O223" s="14">
        <f>(I223*K223)+N223</f>
        <v>0</v>
      </c>
      <c r="P223" s="15">
        <f>O223*G223</f>
        <v>0</v>
      </c>
      <c r="Q223" s="37"/>
    </row>
    <row r="224" spans="1:17" ht="15.6">
      <c r="A224" s="36">
        <f>IF(G224&lt;&gt;"",1+MAX($A$1:A223),"")</f>
        <v>162</v>
      </c>
      <c r="B224" s="79"/>
      <c r="C224" s="1"/>
      <c r="D224" s="58" t="s">
        <v>44</v>
      </c>
      <c r="E224" s="8">
        <f>62.68*2*4/27</f>
        <v>18.57185185185185</v>
      </c>
      <c r="F224" s="9">
        <v>0.1</v>
      </c>
      <c r="G224" s="10">
        <f t="shared" ref="G224:G225" si="229">E224*(1+F224)</f>
        <v>20.429037037037038</v>
      </c>
      <c r="H224" s="4" t="s">
        <v>30</v>
      </c>
      <c r="I224" s="11">
        <v>0</v>
      </c>
      <c r="J224" s="12">
        <f t="shared" si="225"/>
        <v>0</v>
      </c>
      <c r="K224" s="13">
        <v>0</v>
      </c>
      <c r="L224" s="14">
        <f t="shared" si="226"/>
        <v>0</v>
      </c>
      <c r="M224" s="14">
        <f t="shared" si="227"/>
        <v>0</v>
      </c>
      <c r="N224" s="14">
        <v>0</v>
      </c>
      <c r="O224" s="14">
        <f>(I224*K224)+N224</f>
        <v>0</v>
      </c>
      <c r="P224" s="15">
        <f>O224*G224</f>
        <v>0</v>
      </c>
      <c r="Q224" s="37"/>
    </row>
    <row r="225" spans="1:17" ht="15.6">
      <c r="A225" s="36">
        <f>IF(G225&lt;&gt;"",1+MAX($A$1:A224),"")</f>
        <v>163</v>
      </c>
      <c r="B225" s="79"/>
      <c r="C225" s="1"/>
      <c r="D225" s="58" t="s">
        <v>45</v>
      </c>
      <c r="E225" s="8">
        <f>E224-E221</f>
        <v>9.285925925925925</v>
      </c>
      <c r="F225" s="9">
        <v>0.1</v>
      </c>
      <c r="G225" s="10">
        <f t="shared" si="229"/>
        <v>10.214518518518519</v>
      </c>
      <c r="H225" s="4" t="s">
        <v>30</v>
      </c>
      <c r="I225" s="11">
        <v>0</v>
      </c>
      <c r="J225" s="12">
        <f t="shared" si="225"/>
        <v>0</v>
      </c>
      <c r="K225" s="13">
        <v>0</v>
      </c>
      <c r="L225" s="14">
        <f t="shared" si="226"/>
        <v>0</v>
      </c>
      <c r="M225" s="14">
        <f t="shared" si="227"/>
        <v>0</v>
      </c>
      <c r="N225" s="14">
        <v>0</v>
      </c>
      <c r="O225" s="14">
        <f>(I225*K225)+N225</f>
        <v>0</v>
      </c>
      <c r="P225" s="15">
        <f>O225*G225</f>
        <v>0</v>
      </c>
      <c r="Q225" s="37"/>
    </row>
    <row r="226" spans="1:17" ht="15.6">
      <c r="A226" s="36" t="str">
        <f>IF(G226&lt;&gt;"",1+MAX($A$1:A225),"")</f>
        <v/>
      </c>
      <c r="B226" s="79"/>
      <c r="C226" s="1"/>
      <c r="D226" s="58"/>
      <c r="E226" s="8"/>
      <c r="F226" s="4"/>
      <c r="G226" s="4"/>
      <c r="H226" s="4"/>
      <c r="I226" s="11"/>
      <c r="J226" s="12"/>
      <c r="K226" s="13"/>
      <c r="L226" s="14"/>
      <c r="M226" s="14"/>
      <c r="N226" s="14"/>
      <c r="O226" s="14"/>
      <c r="P226" s="15"/>
      <c r="Q226" s="37"/>
    </row>
    <row r="227" spans="1:17" ht="15.6">
      <c r="A227" s="36">
        <f>IF(G227&lt;&gt;"",1+MAX($A$1:A226),"")</f>
        <v>164</v>
      </c>
      <c r="B227" s="79"/>
      <c r="C227" s="1"/>
      <c r="D227" s="58" t="s">
        <v>135</v>
      </c>
      <c r="E227" s="8">
        <f>43.19*2.67*4/27</f>
        <v>17.084044444444444</v>
      </c>
      <c r="F227" s="9">
        <v>0.1</v>
      </c>
      <c r="G227" s="10">
        <f t="shared" ref="G227:G228" si="230">E227*(1+F227)</f>
        <v>18.792448888888892</v>
      </c>
      <c r="H227" s="4" t="s">
        <v>30</v>
      </c>
      <c r="I227" s="11">
        <v>0</v>
      </c>
      <c r="J227" s="12">
        <f t="shared" ref="J227:J231" si="231">+I227*G227</f>
        <v>0</v>
      </c>
      <c r="K227" s="13">
        <v>0</v>
      </c>
      <c r="L227" s="14">
        <f t="shared" ref="L227:L231" si="232">K227*J227</f>
        <v>0</v>
      </c>
      <c r="M227" s="14">
        <f t="shared" ref="M227:M231" si="233">N227*G227</f>
        <v>0</v>
      </c>
      <c r="N227" s="14">
        <v>0</v>
      </c>
      <c r="O227" s="14">
        <f>(I227*K227)+N227</f>
        <v>0</v>
      </c>
      <c r="P227" s="15">
        <f>O227*G227</f>
        <v>0</v>
      </c>
      <c r="Q227" s="37"/>
    </row>
    <row r="228" spans="1:17" ht="57.6">
      <c r="A228" s="36">
        <f>IF(G228&lt;&gt;"",1+MAX($A$1:A227),"")</f>
        <v>165</v>
      </c>
      <c r="B228" s="79"/>
      <c r="C228" s="1"/>
      <c r="D228" s="59" t="s">
        <v>131</v>
      </c>
      <c r="E228" s="8">
        <f>2.67*605+1.502*216+0.668*590</f>
        <v>2333.902</v>
      </c>
      <c r="F228" s="9">
        <v>0.05</v>
      </c>
      <c r="G228" s="10">
        <f t="shared" si="230"/>
        <v>2450.5971</v>
      </c>
      <c r="H228" s="4" t="s">
        <v>35</v>
      </c>
      <c r="I228" s="11">
        <v>0</v>
      </c>
      <c r="J228" s="12">
        <f t="shared" si="231"/>
        <v>0</v>
      </c>
      <c r="K228" s="13">
        <v>0</v>
      </c>
      <c r="L228" s="14">
        <f t="shared" si="232"/>
        <v>0</v>
      </c>
      <c r="M228" s="14">
        <f t="shared" si="233"/>
        <v>0</v>
      </c>
      <c r="N228" s="14">
        <v>0</v>
      </c>
      <c r="O228" s="14">
        <f>(I228*K228)+N228</f>
        <v>0</v>
      </c>
      <c r="P228" s="15">
        <f>O228*G228</f>
        <v>0</v>
      </c>
      <c r="Q228" s="37"/>
    </row>
    <row r="229" spans="1:17" ht="15.6">
      <c r="A229" s="36">
        <f>IF(G229&lt;&gt;"",1+MAX($A$1:A228),"")</f>
        <v>166</v>
      </c>
      <c r="B229" s="79"/>
      <c r="C229" s="1"/>
      <c r="D229" s="58" t="s">
        <v>31</v>
      </c>
      <c r="E229" s="8">
        <f>43.19*2*4</f>
        <v>345.52</v>
      </c>
      <c r="F229" s="9">
        <v>0.1</v>
      </c>
      <c r="G229" s="10">
        <f t="shared" ref="G229" si="234">E229*(1+F229)</f>
        <v>380.072</v>
      </c>
      <c r="H229" s="4" t="s">
        <v>32</v>
      </c>
      <c r="I229" s="11">
        <v>0</v>
      </c>
      <c r="J229" s="12">
        <f t="shared" si="231"/>
        <v>0</v>
      </c>
      <c r="K229" s="13">
        <v>0</v>
      </c>
      <c r="L229" s="14">
        <f t="shared" si="232"/>
        <v>0</v>
      </c>
      <c r="M229" s="14">
        <f t="shared" si="233"/>
        <v>0</v>
      </c>
      <c r="N229" s="14">
        <v>0</v>
      </c>
      <c r="O229" s="14">
        <f>(I229*K229)+N229</f>
        <v>0</v>
      </c>
      <c r="P229" s="15">
        <f>O229*G229</f>
        <v>0</v>
      </c>
      <c r="Q229" s="37"/>
    </row>
    <row r="230" spans="1:17" ht="15.6">
      <c r="A230" s="36">
        <f>IF(G230&lt;&gt;"",1+MAX($A$1:A229),"")</f>
        <v>167</v>
      </c>
      <c r="B230" s="79"/>
      <c r="C230" s="1"/>
      <c r="D230" s="58" t="s">
        <v>44</v>
      </c>
      <c r="E230" s="8">
        <f>43.19*3.67*4/27</f>
        <v>23.482562962962962</v>
      </c>
      <c r="F230" s="9">
        <v>0.1</v>
      </c>
      <c r="G230" s="10">
        <f t="shared" ref="G230:G231" si="235">E230*(1+F230)</f>
        <v>25.830819259259261</v>
      </c>
      <c r="H230" s="4" t="s">
        <v>30</v>
      </c>
      <c r="I230" s="11">
        <v>0</v>
      </c>
      <c r="J230" s="12">
        <f t="shared" si="231"/>
        <v>0</v>
      </c>
      <c r="K230" s="13">
        <v>0</v>
      </c>
      <c r="L230" s="14">
        <f t="shared" si="232"/>
        <v>0</v>
      </c>
      <c r="M230" s="14">
        <f t="shared" si="233"/>
        <v>0</v>
      </c>
      <c r="N230" s="14">
        <v>0</v>
      </c>
      <c r="O230" s="14">
        <f>(I230*K230)+N230</f>
        <v>0</v>
      </c>
      <c r="P230" s="15">
        <f>O230*G230</f>
        <v>0</v>
      </c>
      <c r="Q230" s="37"/>
    </row>
    <row r="231" spans="1:17" ht="15.6">
      <c r="A231" s="36">
        <f>IF(G231&lt;&gt;"",1+MAX($A$1:A230),"")</f>
        <v>168</v>
      </c>
      <c r="B231" s="80"/>
      <c r="C231" s="1"/>
      <c r="D231" s="58" t="s">
        <v>45</v>
      </c>
      <c r="E231" s="8">
        <f>E230-E227</f>
        <v>6.3985185185185181</v>
      </c>
      <c r="F231" s="9">
        <v>0.1</v>
      </c>
      <c r="G231" s="10">
        <f t="shared" si="235"/>
        <v>7.0383703703703704</v>
      </c>
      <c r="H231" s="4" t="s">
        <v>30</v>
      </c>
      <c r="I231" s="11">
        <v>0</v>
      </c>
      <c r="J231" s="12">
        <f t="shared" si="231"/>
        <v>0</v>
      </c>
      <c r="K231" s="13">
        <v>0</v>
      </c>
      <c r="L231" s="14">
        <f t="shared" si="232"/>
        <v>0</v>
      </c>
      <c r="M231" s="14">
        <f t="shared" si="233"/>
        <v>0</v>
      </c>
      <c r="N231" s="14">
        <v>0</v>
      </c>
      <c r="O231" s="14">
        <f>(I231*K231)+N231</f>
        <v>0</v>
      </c>
      <c r="P231" s="15">
        <f>O231*G231</f>
        <v>0</v>
      </c>
      <c r="Q231" s="37"/>
    </row>
    <row r="232" spans="1:17" ht="15.6">
      <c r="A232" s="36" t="str">
        <f>IF(G232&lt;&gt;"",1+MAX($A$1:A231),"")</f>
        <v/>
      </c>
      <c r="B232" s="6"/>
      <c r="C232" s="1"/>
      <c r="D232" s="2"/>
      <c r="E232" s="8"/>
      <c r="F232" s="9"/>
      <c r="G232" s="10"/>
      <c r="H232" s="1"/>
      <c r="I232" s="11"/>
      <c r="J232" s="12"/>
      <c r="K232" s="13"/>
      <c r="L232" s="14"/>
      <c r="M232" s="14"/>
      <c r="N232" s="14"/>
      <c r="O232" s="14"/>
      <c r="P232" s="15"/>
      <c r="Q232" s="37"/>
    </row>
    <row r="233" spans="1:17" ht="15.6">
      <c r="A233" s="36" t="str">
        <f>IF(G233&lt;&gt;"",1+MAX($A$1:A232),"")</f>
        <v/>
      </c>
      <c r="B233" s="6"/>
      <c r="C233" s="1"/>
      <c r="D233" s="22" t="s">
        <v>136</v>
      </c>
      <c r="E233" s="8"/>
      <c r="F233" s="9"/>
      <c r="G233" s="10"/>
      <c r="H233" s="1"/>
      <c r="I233" s="11"/>
      <c r="J233" s="12"/>
      <c r="K233" s="13"/>
      <c r="L233" s="14"/>
      <c r="M233" s="14"/>
      <c r="N233" s="14"/>
      <c r="O233" s="14"/>
      <c r="P233" s="15"/>
      <c r="Q233" s="37"/>
    </row>
    <row r="234" spans="1:17" ht="15.6">
      <c r="A234" s="36">
        <f>IF(G234&lt;&gt;"",1+MAX($A$1:A233),"")</f>
        <v>169</v>
      </c>
      <c r="B234" s="78" t="s">
        <v>186</v>
      </c>
      <c r="C234" s="1"/>
      <c r="D234" s="58" t="s">
        <v>140</v>
      </c>
      <c r="E234" s="8">
        <f>88766.07*0.33/27</f>
        <v>1084.9186333333334</v>
      </c>
      <c r="F234" s="9">
        <v>0.1</v>
      </c>
      <c r="G234" s="10">
        <f t="shared" ref="G234:G235" si="236">E234*(1+F234)</f>
        <v>1193.4104966666669</v>
      </c>
      <c r="H234" s="4" t="s">
        <v>30</v>
      </c>
      <c r="I234" s="11">
        <v>0</v>
      </c>
      <c r="J234" s="12">
        <f t="shared" ref="J234:J238" si="237">+I234*G234</f>
        <v>0</v>
      </c>
      <c r="K234" s="13">
        <v>0</v>
      </c>
      <c r="L234" s="14">
        <f t="shared" ref="L234:L238" si="238">K234*J234</f>
        <v>0</v>
      </c>
      <c r="M234" s="14">
        <f t="shared" ref="M234:M238" si="239">N234*G234</f>
        <v>0</v>
      </c>
      <c r="N234" s="14">
        <v>0</v>
      </c>
      <c r="O234" s="14">
        <f>(I234*K234)+N234</f>
        <v>0</v>
      </c>
      <c r="P234" s="15">
        <f>O234*G234</f>
        <v>0</v>
      </c>
      <c r="Q234" s="37"/>
    </row>
    <row r="235" spans="1:17" ht="28.8">
      <c r="A235" s="36">
        <f>IF(G235&lt;&gt;"",1+MAX($A$1:A234),"")</f>
        <v>170</v>
      </c>
      <c r="B235" s="84"/>
      <c r="C235" s="1"/>
      <c r="D235" s="59" t="s">
        <v>137</v>
      </c>
      <c r="E235" s="8">
        <v>88766.07</v>
      </c>
      <c r="F235" s="9">
        <v>0.1</v>
      </c>
      <c r="G235" s="10">
        <f t="shared" si="236"/>
        <v>97642.677000000011</v>
      </c>
      <c r="H235" s="4" t="s">
        <v>32</v>
      </c>
      <c r="I235" s="11">
        <v>0</v>
      </c>
      <c r="J235" s="12">
        <f t="shared" si="237"/>
        <v>0</v>
      </c>
      <c r="K235" s="13">
        <v>0</v>
      </c>
      <c r="L235" s="14">
        <f t="shared" si="238"/>
        <v>0</v>
      </c>
      <c r="M235" s="14">
        <f t="shared" si="239"/>
        <v>0</v>
      </c>
      <c r="N235" s="14">
        <v>0</v>
      </c>
      <c r="O235" s="14">
        <f>(I235*K235)+N235</f>
        <v>0</v>
      </c>
      <c r="P235" s="15">
        <f>O235*G235</f>
        <v>0</v>
      </c>
      <c r="Q235" s="37"/>
    </row>
    <row r="236" spans="1:17" ht="15.6">
      <c r="A236" s="36">
        <f>IF(G236&lt;&gt;"",1+MAX($A$1:A235),"")</f>
        <v>171</v>
      </c>
      <c r="B236" s="84"/>
      <c r="C236" s="1"/>
      <c r="D236" s="58" t="s">
        <v>141</v>
      </c>
      <c r="E236" s="8">
        <f>88766.07*0.5/27</f>
        <v>1643.8161111111112</v>
      </c>
      <c r="F236" s="9">
        <v>0.1</v>
      </c>
      <c r="G236" s="10">
        <f t="shared" ref="G236" si="240">E236*(1+F236)</f>
        <v>1808.1977222222224</v>
      </c>
      <c r="H236" s="4" t="s">
        <v>30</v>
      </c>
      <c r="I236" s="11">
        <v>0</v>
      </c>
      <c r="J236" s="12">
        <f t="shared" si="237"/>
        <v>0</v>
      </c>
      <c r="K236" s="13">
        <v>0</v>
      </c>
      <c r="L236" s="14">
        <f t="shared" si="238"/>
        <v>0</v>
      </c>
      <c r="M236" s="14">
        <f t="shared" si="239"/>
        <v>0</v>
      </c>
      <c r="N236" s="14">
        <v>0</v>
      </c>
      <c r="O236" s="14">
        <f>(I236*K236)+N236</f>
        <v>0</v>
      </c>
      <c r="P236" s="15">
        <f>O236*G236</f>
        <v>0</v>
      </c>
      <c r="Q236" s="37"/>
    </row>
    <row r="237" spans="1:17" ht="15.6">
      <c r="A237" s="36" t="str">
        <f>IF(G237&lt;&gt;"",1+MAX($A$1:A236),"")</f>
        <v/>
      </c>
      <c r="B237" s="84"/>
      <c r="C237" s="1"/>
      <c r="D237" s="58"/>
      <c r="E237" s="8"/>
      <c r="F237" s="4"/>
      <c r="G237" s="4"/>
      <c r="H237" s="4"/>
      <c r="I237" s="11"/>
      <c r="J237" s="12"/>
      <c r="K237" s="13"/>
      <c r="L237" s="14"/>
      <c r="M237" s="14"/>
      <c r="N237" s="14"/>
      <c r="O237" s="14"/>
      <c r="P237" s="15"/>
      <c r="Q237" s="37"/>
    </row>
    <row r="238" spans="1:17" ht="15.6">
      <c r="A238" s="36">
        <f>IF(G238&lt;&gt;"",1+MAX($A$1:A237),"")</f>
        <v>172</v>
      </c>
      <c r="B238" s="84"/>
      <c r="C238" s="1"/>
      <c r="D238" s="58" t="s">
        <v>142</v>
      </c>
      <c r="E238" s="8">
        <f>600.37*1.5/27</f>
        <v>33.353888888888889</v>
      </c>
      <c r="F238" s="9">
        <v>0.1</v>
      </c>
      <c r="G238" s="10">
        <f t="shared" ref="G238" si="241">E238*(1+F238)</f>
        <v>36.689277777777782</v>
      </c>
      <c r="H238" s="4" t="s">
        <v>30</v>
      </c>
      <c r="I238" s="11">
        <v>0</v>
      </c>
      <c r="J238" s="12">
        <f t="shared" si="237"/>
        <v>0</v>
      </c>
      <c r="K238" s="13">
        <v>0</v>
      </c>
      <c r="L238" s="14">
        <f t="shared" si="238"/>
        <v>0</v>
      </c>
      <c r="M238" s="14">
        <f t="shared" si="239"/>
        <v>0</v>
      </c>
      <c r="N238" s="14">
        <v>0</v>
      </c>
      <c r="O238" s="14">
        <f>(I238*K238)+N238</f>
        <v>0</v>
      </c>
      <c r="P238" s="15">
        <f>O238*G238</f>
        <v>0</v>
      </c>
      <c r="Q238" s="37"/>
    </row>
    <row r="239" spans="1:17" ht="15.6">
      <c r="A239" s="36" t="str">
        <f>IF(G239&lt;&gt;"",1+MAX($A$1:A238),"")</f>
        <v/>
      </c>
      <c r="B239" s="84"/>
      <c r="C239" s="1"/>
      <c r="D239" s="58" t="s">
        <v>143</v>
      </c>
      <c r="E239" s="8"/>
      <c r="F239" s="4"/>
      <c r="G239" s="4"/>
      <c r="H239" s="4"/>
      <c r="I239" s="11"/>
      <c r="J239" s="12"/>
      <c r="K239" s="13"/>
      <c r="L239" s="14"/>
      <c r="M239" s="14"/>
      <c r="N239" s="14"/>
      <c r="O239" s="14"/>
      <c r="P239" s="15"/>
      <c r="Q239" s="37"/>
    </row>
    <row r="240" spans="1:17" ht="15.6">
      <c r="A240" s="36" t="str">
        <f>IF(G240&lt;&gt;"",1+MAX($A$1:A239),"")</f>
        <v/>
      </c>
      <c r="B240" s="84"/>
      <c r="C240" s="1"/>
      <c r="D240" s="58"/>
      <c r="E240" s="8"/>
      <c r="F240" s="4"/>
      <c r="G240" s="4"/>
      <c r="H240" s="4"/>
      <c r="I240" s="11"/>
      <c r="J240" s="12"/>
      <c r="K240" s="13"/>
      <c r="L240" s="14"/>
      <c r="M240" s="14"/>
      <c r="N240" s="14"/>
      <c r="O240" s="14"/>
      <c r="P240" s="15"/>
      <c r="Q240" s="37"/>
    </row>
    <row r="241" spans="1:17" ht="15.6">
      <c r="A241" s="36">
        <f>IF(G241&lt;&gt;"",1+MAX($A$1:A240),"")</f>
        <v>173</v>
      </c>
      <c r="B241" s="84"/>
      <c r="C241" s="1"/>
      <c r="D241" s="58" t="s">
        <v>138</v>
      </c>
      <c r="E241" s="8">
        <f>(416.32*(1*1+0.5*1*1)+785.6*(0.75*0.67+0.5*0.67*0.67)+357.33*(0.67*0.33+0.5*1.67*0.33)+1126.17*(0.67*0.33+0.5*1.67*0.33)+621.58*(0.5*0.33+0.5*0.33*0.33))/27</f>
        <v>76.620663925925911</v>
      </c>
      <c r="F241" s="9">
        <v>0.1</v>
      </c>
      <c r="G241" s="10">
        <f t="shared" ref="G241:G242" si="242">E241*(1+F241)</f>
        <v>84.282730318518503</v>
      </c>
      <c r="H241" s="4" t="s">
        <v>30</v>
      </c>
      <c r="I241" s="11">
        <v>0</v>
      </c>
      <c r="J241" s="12">
        <f t="shared" ref="J241:J242" si="243">+I241*G241</f>
        <v>0</v>
      </c>
      <c r="K241" s="13">
        <v>0</v>
      </c>
      <c r="L241" s="14">
        <f t="shared" ref="L241:L242" si="244">K241*J241</f>
        <v>0</v>
      </c>
      <c r="M241" s="14">
        <f t="shared" ref="M241:M242" si="245">N241*G241</f>
        <v>0</v>
      </c>
      <c r="N241" s="14">
        <v>0</v>
      </c>
      <c r="O241" s="14">
        <f>(I241*K241)+N241</f>
        <v>0</v>
      </c>
      <c r="P241" s="15">
        <f>O241*G241</f>
        <v>0</v>
      </c>
      <c r="Q241" s="37"/>
    </row>
    <row r="242" spans="1:17" ht="28.8">
      <c r="A242" s="36">
        <f>IF(G242&lt;&gt;"",1+MAX($A$1:A241),"")</f>
        <v>174</v>
      </c>
      <c r="B242" s="85"/>
      <c r="C242" s="1"/>
      <c r="D242" s="59" t="s">
        <v>139</v>
      </c>
      <c r="E242" s="8">
        <f>1.043*3746</f>
        <v>3907.0779999999995</v>
      </c>
      <c r="F242" s="9">
        <v>0.05</v>
      </c>
      <c r="G242" s="10">
        <f t="shared" si="242"/>
        <v>4102.4318999999996</v>
      </c>
      <c r="H242" s="4" t="s">
        <v>35</v>
      </c>
      <c r="I242" s="11">
        <v>0</v>
      </c>
      <c r="J242" s="12">
        <f t="shared" si="243"/>
        <v>0</v>
      </c>
      <c r="K242" s="13">
        <v>0</v>
      </c>
      <c r="L242" s="14">
        <f t="shared" si="244"/>
        <v>0</v>
      </c>
      <c r="M242" s="14">
        <f t="shared" si="245"/>
        <v>0</v>
      </c>
      <c r="N242" s="14">
        <v>0</v>
      </c>
      <c r="O242" s="14">
        <f>(I242*K242)+N242</f>
        <v>0</v>
      </c>
      <c r="P242" s="15">
        <f>O242*G242</f>
        <v>0</v>
      </c>
      <c r="Q242" s="37"/>
    </row>
    <row r="243" spans="1:17" ht="15.6">
      <c r="A243" s="36" t="str">
        <f>IF(G243&lt;&gt;"",1+MAX($A$1:A242),"")</f>
        <v/>
      </c>
      <c r="B243" s="6"/>
      <c r="C243" s="1"/>
      <c r="D243" s="2"/>
      <c r="E243" s="8"/>
      <c r="F243" s="9"/>
      <c r="G243" s="10"/>
      <c r="H243" s="1"/>
      <c r="I243" s="11"/>
      <c r="J243" s="12"/>
      <c r="K243" s="13"/>
      <c r="L243" s="14"/>
      <c r="M243" s="14"/>
      <c r="N243" s="14"/>
      <c r="O243" s="14"/>
      <c r="P243" s="15"/>
      <c r="Q243" s="37"/>
    </row>
    <row r="244" spans="1:17" ht="15.6">
      <c r="A244" s="36" t="str">
        <f>IF(G244&lt;&gt;"",1+MAX($A$1:A243),"")</f>
        <v/>
      </c>
      <c r="B244" s="6"/>
      <c r="C244" s="1"/>
      <c r="D244" s="22" t="s">
        <v>34</v>
      </c>
      <c r="E244" s="8"/>
      <c r="F244" s="9"/>
      <c r="G244" s="10"/>
      <c r="H244" s="1"/>
      <c r="I244" s="11"/>
      <c r="J244" s="12"/>
      <c r="K244" s="13"/>
      <c r="L244" s="14"/>
      <c r="M244" s="14"/>
      <c r="N244" s="14"/>
      <c r="O244" s="14"/>
      <c r="P244" s="15"/>
      <c r="Q244" s="37"/>
    </row>
    <row r="245" spans="1:17" ht="15.6">
      <c r="A245" s="36">
        <f>IF(G245&lt;&gt;"",1+MAX($A$1:A244),"")</f>
        <v>175</v>
      </c>
      <c r="B245" s="78" t="s">
        <v>185</v>
      </c>
      <c r="C245" s="1"/>
      <c r="D245" s="58" t="s">
        <v>150</v>
      </c>
      <c r="E245" s="8">
        <f>89722.28*0.5/27</f>
        <v>1661.5237037037036</v>
      </c>
      <c r="F245" s="9">
        <v>0.1</v>
      </c>
      <c r="G245" s="10">
        <f t="shared" ref="G245:G246" si="246">E245*(1+F245)</f>
        <v>1827.6760740740742</v>
      </c>
      <c r="H245" s="4" t="s">
        <v>30</v>
      </c>
      <c r="I245" s="11">
        <v>0</v>
      </c>
      <c r="J245" s="12">
        <f t="shared" ref="J245:J246" si="247">+I245*G245</f>
        <v>0</v>
      </c>
      <c r="K245" s="13">
        <v>0</v>
      </c>
      <c r="L245" s="14">
        <f t="shared" ref="L245:L246" si="248">K245*J245</f>
        <v>0</v>
      </c>
      <c r="M245" s="14">
        <f t="shared" ref="M245:M246" si="249">N245*G245</f>
        <v>0</v>
      </c>
      <c r="N245" s="14">
        <v>0</v>
      </c>
      <c r="O245" s="14">
        <f>(I245*K245)+N245</f>
        <v>0</v>
      </c>
      <c r="P245" s="15">
        <f>O245*G245</f>
        <v>0</v>
      </c>
      <c r="Q245" s="37"/>
    </row>
    <row r="246" spans="1:17" ht="28.8">
      <c r="A246" s="36">
        <f>IF(G246&lt;&gt;"",1+MAX($A$1:A245),"")</f>
        <v>176</v>
      </c>
      <c r="B246" s="79"/>
      <c r="C246" s="1"/>
      <c r="D246" s="59" t="s">
        <v>144</v>
      </c>
      <c r="E246" s="8">
        <v>89722.28</v>
      </c>
      <c r="F246" s="9">
        <v>0.1</v>
      </c>
      <c r="G246" s="10">
        <f t="shared" si="246"/>
        <v>98694.508000000002</v>
      </c>
      <c r="H246" s="4" t="s">
        <v>32</v>
      </c>
      <c r="I246" s="11">
        <v>0</v>
      </c>
      <c r="J246" s="12">
        <f t="shared" si="247"/>
        <v>0</v>
      </c>
      <c r="K246" s="13">
        <v>0</v>
      </c>
      <c r="L246" s="14">
        <f t="shared" si="248"/>
        <v>0</v>
      </c>
      <c r="M246" s="14">
        <f t="shared" si="249"/>
        <v>0</v>
      </c>
      <c r="N246" s="14">
        <v>0</v>
      </c>
      <c r="O246" s="14">
        <f>(I246*K246)+N246</f>
        <v>0</v>
      </c>
      <c r="P246" s="15">
        <f>O246*G246</f>
        <v>0</v>
      </c>
      <c r="Q246" s="37"/>
    </row>
    <row r="247" spans="1:17" ht="15.6">
      <c r="A247" s="36" t="str">
        <f>IF(G247&lt;&gt;"",1+MAX($A$1:A246),"")</f>
        <v/>
      </c>
      <c r="B247" s="79"/>
      <c r="C247" s="1"/>
      <c r="D247" s="58"/>
      <c r="E247" s="8"/>
      <c r="F247" s="4"/>
      <c r="G247" s="4"/>
      <c r="H247" s="4"/>
      <c r="I247" s="11"/>
      <c r="J247" s="12"/>
      <c r="K247" s="13"/>
      <c r="L247" s="14"/>
      <c r="M247" s="14"/>
      <c r="N247" s="14"/>
      <c r="O247" s="14"/>
      <c r="P247" s="15"/>
      <c r="Q247" s="37"/>
    </row>
    <row r="248" spans="1:17" ht="15.6">
      <c r="A248" s="36">
        <f>IF(G248&lt;&gt;"",1+MAX($A$1:A247),"")</f>
        <v>177</v>
      </c>
      <c r="B248" s="79"/>
      <c r="C248" s="1"/>
      <c r="D248" s="58" t="s">
        <v>151</v>
      </c>
      <c r="E248" s="8">
        <f>222349.46*0.0625/27</f>
        <v>514.69782407407411</v>
      </c>
      <c r="F248" s="9">
        <v>0.1</v>
      </c>
      <c r="G248" s="10">
        <f t="shared" ref="G248" si="250">E248*(1+F248)</f>
        <v>566.16760648148158</v>
      </c>
      <c r="H248" s="4" t="s">
        <v>30</v>
      </c>
      <c r="I248" s="11">
        <v>0</v>
      </c>
      <c r="J248" s="12">
        <f t="shared" ref="J248" si="251">+I248*G248</f>
        <v>0</v>
      </c>
      <c r="K248" s="13">
        <v>0</v>
      </c>
      <c r="L248" s="14">
        <f t="shared" ref="L248" si="252">K248*J248</f>
        <v>0</v>
      </c>
      <c r="M248" s="14">
        <f t="shared" ref="M248" si="253">N248*G248</f>
        <v>0</v>
      </c>
      <c r="N248" s="14">
        <v>0</v>
      </c>
      <c r="O248" s="14">
        <f>(I248*K248)+N248</f>
        <v>0</v>
      </c>
      <c r="P248" s="15">
        <f>O248*G248</f>
        <v>0</v>
      </c>
      <c r="Q248" s="37"/>
    </row>
    <row r="249" spans="1:17" ht="15.6">
      <c r="A249" s="36" t="str">
        <f>IF(G249&lt;&gt;"",1+MAX($A$1:A248),"")</f>
        <v/>
      </c>
      <c r="B249" s="79"/>
      <c r="C249" s="1"/>
      <c r="D249" s="58"/>
      <c r="E249" s="8"/>
      <c r="F249" s="4"/>
      <c r="G249" s="4"/>
      <c r="H249" s="4"/>
      <c r="I249" s="11"/>
      <c r="J249" s="12"/>
      <c r="K249" s="13"/>
      <c r="L249" s="14"/>
      <c r="M249" s="14"/>
      <c r="N249" s="14"/>
      <c r="O249" s="14"/>
      <c r="P249" s="15"/>
      <c r="Q249" s="37"/>
    </row>
    <row r="250" spans="1:17" ht="15.6">
      <c r="A250" s="36">
        <f>IF(G250&lt;&gt;"",1+MAX($A$1:A249),"")</f>
        <v>178</v>
      </c>
      <c r="B250" s="79"/>
      <c r="C250" s="1"/>
      <c r="D250" s="58" t="s">
        <v>152</v>
      </c>
      <c r="E250" s="8">
        <f>403.99*0.42/27</f>
        <v>6.2842888888888888</v>
      </c>
      <c r="F250" s="9">
        <v>0.1</v>
      </c>
      <c r="G250" s="10">
        <f t="shared" ref="G250:G252" si="254">E250*(1+F250)</f>
        <v>6.912717777777778</v>
      </c>
      <c r="H250" s="4" t="s">
        <v>30</v>
      </c>
      <c r="I250" s="11">
        <v>0</v>
      </c>
      <c r="J250" s="12">
        <f t="shared" ref="J250:J252" si="255">+I250*G250</f>
        <v>0</v>
      </c>
      <c r="K250" s="13">
        <v>0</v>
      </c>
      <c r="L250" s="14">
        <f t="shared" ref="L250:L252" si="256">K250*J250</f>
        <v>0</v>
      </c>
      <c r="M250" s="14">
        <f t="shared" ref="M250:M252" si="257">N250*G250</f>
        <v>0</v>
      </c>
      <c r="N250" s="14">
        <v>0</v>
      </c>
      <c r="O250" s="14">
        <f>(I250*K250)+N250</f>
        <v>0</v>
      </c>
      <c r="P250" s="15">
        <f>O250*G250</f>
        <v>0</v>
      </c>
      <c r="Q250" s="37"/>
    </row>
    <row r="251" spans="1:17" ht="28.8">
      <c r="A251" s="36">
        <f>IF(G251&lt;&gt;"",1+MAX($A$1:A250),"")</f>
        <v>179</v>
      </c>
      <c r="B251" s="79"/>
      <c r="C251" s="1"/>
      <c r="D251" s="59" t="s">
        <v>144</v>
      </c>
      <c r="E251" s="8">
        <v>403.99</v>
      </c>
      <c r="F251" s="9">
        <v>0.1</v>
      </c>
      <c r="G251" s="10">
        <f t="shared" si="254"/>
        <v>444.38900000000007</v>
      </c>
      <c r="H251" s="4" t="s">
        <v>32</v>
      </c>
      <c r="I251" s="11">
        <v>0</v>
      </c>
      <c r="J251" s="12">
        <f t="shared" si="255"/>
        <v>0</v>
      </c>
      <c r="K251" s="13">
        <v>0</v>
      </c>
      <c r="L251" s="14">
        <f t="shared" si="256"/>
        <v>0</v>
      </c>
      <c r="M251" s="14">
        <f t="shared" si="257"/>
        <v>0</v>
      </c>
      <c r="N251" s="14">
        <v>0</v>
      </c>
      <c r="O251" s="14">
        <f>(I251*K251)+N251</f>
        <v>0</v>
      </c>
      <c r="P251" s="15">
        <f>O251*G251</f>
        <v>0</v>
      </c>
      <c r="Q251" s="37"/>
    </row>
    <row r="252" spans="1:17" ht="15.6">
      <c r="A252" s="36">
        <f>IF(G252&lt;&gt;"",1+MAX($A$1:A251),"")</f>
        <v>180</v>
      </c>
      <c r="B252" s="79"/>
      <c r="C252" s="1"/>
      <c r="D252" s="58" t="s">
        <v>145</v>
      </c>
      <c r="E252" s="8">
        <f>1.043*808</f>
        <v>842.74399999999991</v>
      </c>
      <c r="F252" s="9">
        <v>0.05</v>
      </c>
      <c r="G252" s="10">
        <f t="shared" si="254"/>
        <v>884.88119999999992</v>
      </c>
      <c r="H252" s="4" t="s">
        <v>35</v>
      </c>
      <c r="I252" s="11">
        <v>0</v>
      </c>
      <c r="J252" s="12">
        <f t="shared" si="255"/>
        <v>0</v>
      </c>
      <c r="K252" s="13">
        <v>0</v>
      </c>
      <c r="L252" s="14">
        <f t="shared" si="256"/>
        <v>0</v>
      </c>
      <c r="M252" s="14">
        <f t="shared" si="257"/>
        <v>0</v>
      </c>
      <c r="N252" s="14">
        <v>0</v>
      </c>
      <c r="O252" s="14">
        <f>(I252*K252)+N252</f>
        <v>0</v>
      </c>
      <c r="P252" s="15">
        <f>O252*G252</f>
        <v>0</v>
      </c>
      <c r="Q252" s="37"/>
    </row>
    <row r="253" spans="1:17" ht="15.6">
      <c r="A253" s="36" t="str">
        <f>IF(G253&lt;&gt;"",1+MAX($A$1:A252),"")</f>
        <v/>
      </c>
      <c r="B253" s="79"/>
      <c r="C253" s="1"/>
      <c r="D253" s="58"/>
      <c r="E253" s="8"/>
      <c r="F253" s="4"/>
      <c r="G253" s="4"/>
      <c r="H253" s="4"/>
      <c r="I253" s="11"/>
      <c r="J253" s="12"/>
      <c r="K253" s="13"/>
      <c r="L253" s="14"/>
      <c r="M253" s="14"/>
      <c r="N253" s="14"/>
      <c r="O253" s="14"/>
      <c r="P253" s="15"/>
      <c r="Q253" s="37"/>
    </row>
    <row r="254" spans="1:17" ht="15.6">
      <c r="A254" s="36">
        <f>IF(G254&lt;&gt;"",1+MAX($A$1:A253),"")</f>
        <v>181</v>
      </c>
      <c r="B254" s="79"/>
      <c r="C254" s="1"/>
      <c r="D254" s="58" t="s">
        <v>153</v>
      </c>
      <c r="E254" s="8">
        <f>22638.56*0.33/27</f>
        <v>276.69351111111115</v>
      </c>
      <c r="F254" s="9">
        <v>0.1</v>
      </c>
      <c r="G254" s="10">
        <f t="shared" ref="G254:G256" si="258">E254*(1+F254)</f>
        <v>304.3628622222223</v>
      </c>
      <c r="H254" s="4" t="s">
        <v>30</v>
      </c>
      <c r="I254" s="11">
        <v>0</v>
      </c>
      <c r="J254" s="12">
        <f t="shared" ref="J254:J256" si="259">+I254*G254</f>
        <v>0</v>
      </c>
      <c r="K254" s="13">
        <v>0</v>
      </c>
      <c r="L254" s="14">
        <f t="shared" ref="L254:L256" si="260">K254*J254</f>
        <v>0</v>
      </c>
      <c r="M254" s="14">
        <f t="shared" ref="M254:M256" si="261">N254*G254</f>
        <v>0</v>
      </c>
      <c r="N254" s="14">
        <v>0</v>
      </c>
      <c r="O254" s="14">
        <f>(I254*K254)+N254</f>
        <v>0</v>
      </c>
      <c r="P254" s="15">
        <f>O254*G254</f>
        <v>0</v>
      </c>
      <c r="Q254" s="37"/>
    </row>
    <row r="255" spans="1:17" ht="28.8">
      <c r="A255" s="36">
        <f>IF(G255&lt;&gt;"",1+MAX($A$1:A254),"")</f>
        <v>182</v>
      </c>
      <c r="B255" s="79"/>
      <c r="C255" s="1"/>
      <c r="D255" s="59" t="s">
        <v>146</v>
      </c>
      <c r="E255" s="8">
        <v>22638.560000000001</v>
      </c>
      <c r="F255" s="9">
        <v>0.1</v>
      </c>
      <c r="G255" s="10">
        <f t="shared" si="258"/>
        <v>24902.416000000005</v>
      </c>
      <c r="H255" s="4" t="s">
        <v>32</v>
      </c>
      <c r="I255" s="11">
        <v>0</v>
      </c>
      <c r="J255" s="12">
        <f t="shared" si="259"/>
        <v>0</v>
      </c>
      <c r="K255" s="13">
        <v>0</v>
      </c>
      <c r="L255" s="14">
        <f t="shared" si="260"/>
        <v>0</v>
      </c>
      <c r="M255" s="14">
        <f t="shared" si="261"/>
        <v>0</v>
      </c>
      <c r="N255" s="14">
        <v>0</v>
      </c>
      <c r="O255" s="14">
        <f>(I255*K255)+N255</f>
        <v>0</v>
      </c>
      <c r="P255" s="15">
        <f>O255*G255</f>
        <v>0</v>
      </c>
      <c r="Q255" s="37"/>
    </row>
    <row r="256" spans="1:17" ht="15.6">
      <c r="A256" s="36">
        <f>IF(G256&lt;&gt;"",1+MAX($A$1:A255),"")</f>
        <v>183</v>
      </c>
      <c r="B256" s="79"/>
      <c r="C256" s="1"/>
      <c r="D256" s="58" t="s">
        <v>147</v>
      </c>
      <c r="E256" s="8">
        <v>22638.560000000001</v>
      </c>
      <c r="F256" s="9">
        <v>0.1</v>
      </c>
      <c r="G256" s="10">
        <f t="shared" si="258"/>
        <v>24902.416000000005</v>
      </c>
      <c r="H256" s="4" t="s">
        <v>32</v>
      </c>
      <c r="I256" s="11">
        <v>0</v>
      </c>
      <c r="J256" s="12">
        <f t="shared" si="259"/>
        <v>0</v>
      </c>
      <c r="K256" s="13">
        <v>0</v>
      </c>
      <c r="L256" s="14">
        <f t="shared" si="260"/>
        <v>0</v>
      </c>
      <c r="M256" s="14">
        <f t="shared" si="261"/>
        <v>0</v>
      </c>
      <c r="N256" s="14">
        <v>0</v>
      </c>
      <c r="O256" s="14">
        <f>(I256*K256)+N256</f>
        <v>0</v>
      </c>
      <c r="P256" s="15">
        <f>O256*G256</f>
        <v>0</v>
      </c>
      <c r="Q256" s="37"/>
    </row>
    <row r="257" spans="1:36" ht="15.6">
      <c r="A257" s="36" t="str">
        <f>IF(G257&lt;&gt;"",1+MAX($A$1:A256),"")</f>
        <v/>
      </c>
      <c r="B257" s="79"/>
      <c r="C257" s="1"/>
      <c r="D257" s="58"/>
      <c r="E257" s="8"/>
      <c r="F257" s="4"/>
      <c r="G257" s="4"/>
      <c r="H257" s="4"/>
      <c r="I257" s="11"/>
      <c r="J257" s="12"/>
      <c r="K257" s="13"/>
      <c r="L257" s="14"/>
      <c r="M257" s="14"/>
      <c r="N257" s="14"/>
      <c r="O257" s="14"/>
      <c r="P257" s="15"/>
      <c r="Q257" s="37"/>
    </row>
    <row r="258" spans="1:36" ht="15.6">
      <c r="A258" s="36">
        <f>IF(G258&lt;&gt;"",1+MAX($A$1:A257),"")</f>
        <v>184</v>
      </c>
      <c r="B258" s="79"/>
      <c r="C258" s="1"/>
      <c r="D258" s="58" t="s">
        <v>148</v>
      </c>
      <c r="E258" s="8">
        <f>(1471.17*(1*0.67+0.5*0.67*0.67)+228.86*(1.5*0.67+0.5*0.67*0.67))/27</f>
        <v>59.157775314814813</v>
      </c>
      <c r="F258" s="9">
        <v>0.1</v>
      </c>
      <c r="G258" s="10">
        <f t="shared" ref="G258:G259" si="262">E258*(1+F258)</f>
        <v>65.073552846296295</v>
      </c>
      <c r="H258" s="4" t="s">
        <v>30</v>
      </c>
      <c r="I258" s="11">
        <v>0</v>
      </c>
      <c r="J258" s="12">
        <f t="shared" ref="J258:J259" si="263">+I258*G258</f>
        <v>0</v>
      </c>
      <c r="K258" s="13">
        <v>0</v>
      </c>
      <c r="L258" s="14">
        <f t="shared" ref="L258:L259" si="264">K258*J258</f>
        <v>0</v>
      </c>
      <c r="M258" s="14">
        <f t="shared" ref="M258:M259" si="265">N258*G258</f>
        <v>0</v>
      </c>
      <c r="N258" s="14">
        <v>0</v>
      </c>
      <c r="O258" s="14">
        <f>(I258*K258)+N258</f>
        <v>0</v>
      </c>
      <c r="P258" s="15">
        <f>O258*G258</f>
        <v>0</v>
      </c>
      <c r="Q258" s="37"/>
    </row>
    <row r="259" spans="1:36" ht="57.6">
      <c r="A259" s="36">
        <f>IF(G259&lt;&gt;"",1+MAX($A$1:A258),"")</f>
        <v>185</v>
      </c>
      <c r="B259" s="80"/>
      <c r="C259" s="1"/>
      <c r="D259" s="59" t="s">
        <v>149</v>
      </c>
      <c r="E259" s="8">
        <f>0.668*(1920+260)+1.502*1831</f>
        <v>4206.402</v>
      </c>
      <c r="F259" s="9">
        <v>0.05</v>
      </c>
      <c r="G259" s="10">
        <f t="shared" si="262"/>
        <v>4416.7221</v>
      </c>
      <c r="H259" s="4" t="s">
        <v>35</v>
      </c>
      <c r="I259" s="11">
        <v>0</v>
      </c>
      <c r="J259" s="12">
        <f t="shared" si="263"/>
        <v>0</v>
      </c>
      <c r="K259" s="13">
        <v>0</v>
      </c>
      <c r="L259" s="14">
        <f t="shared" si="264"/>
        <v>0</v>
      </c>
      <c r="M259" s="14">
        <f t="shared" si="265"/>
        <v>0</v>
      </c>
      <c r="N259" s="14">
        <v>0</v>
      </c>
      <c r="O259" s="14">
        <f>(I259*K259)+N259</f>
        <v>0</v>
      </c>
      <c r="P259" s="15">
        <f>O259*G259</f>
        <v>0</v>
      </c>
      <c r="Q259" s="37"/>
    </row>
    <row r="260" spans="1:36" ht="16.2" thickBot="1">
      <c r="A260" s="36" t="str">
        <f>IF(G260&lt;&gt;"",1+MAX($A$1:A259),"")</f>
        <v/>
      </c>
      <c r="B260" s="6"/>
      <c r="C260" s="1"/>
      <c r="D260" s="2"/>
      <c r="E260" s="8"/>
      <c r="F260" s="9"/>
      <c r="G260" s="10"/>
      <c r="H260" s="1"/>
      <c r="I260" s="11"/>
      <c r="J260" s="12"/>
      <c r="K260" s="13"/>
      <c r="L260" s="14"/>
      <c r="M260" s="14"/>
      <c r="N260" s="14"/>
      <c r="O260" s="14"/>
      <c r="P260" s="15"/>
      <c r="Q260" s="37"/>
    </row>
    <row r="261" spans="1:36" ht="17.25" customHeight="1" thickBot="1">
      <c r="A261" s="36" t="str">
        <f>IF(G261&lt;&gt;"",1+MAX($A$1:A260),"")</f>
        <v/>
      </c>
      <c r="B261" s="6"/>
      <c r="C261" s="40"/>
      <c r="D261" s="52" t="s">
        <v>25</v>
      </c>
      <c r="E261" s="53"/>
      <c r="F261" s="54"/>
      <c r="G261" s="55"/>
      <c r="H261" s="53"/>
      <c r="I261" s="53"/>
      <c r="J261" s="53"/>
      <c r="K261" s="53"/>
      <c r="L261" s="56"/>
      <c r="M261" s="56"/>
      <c r="N261" s="56"/>
      <c r="O261" s="56"/>
      <c r="P261" s="56"/>
      <c r="Q261" s="57">
        <f>+SUM(P20:P260)</f>
        <v>0</v>
      </c>
    </row>
    <row r="262" spans="1:36" s="102" customFormat="1" ht="18" customHeight="1">
      <c r="A262" s="97"/>
      <c r="B262" s="98"/>
      <c r="C262" s="99">
        <v>31</v>
      </c>
      <c r="D262" s="100" t="s">
        <v>178</v>
      </c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101"/>
    </row>
    <row r="263" spans="1:36" ht="15.6">
      <c r="A263" s="36"/>
      <c r="B263" s="6"/>
      <c r="C263" s="7"/>
      <c r="D263" s="22" t="s">
        <v>179</v>
      </c>
      <c r="E263" s="8"/>
      <c r="F263" s="9"/>
      <c r="G263" s="10"/>
      <c r="H263" s="1"/>
      <c r="I263" s="11"/>
      <c r="J263" s="12"/>
      <c r="K263" s="13"/>
      <c r="L263" s="14"/>
      <c r="M263" s="14"/>
      <c r="N263" s="14"/>
      <c r="O263" s="14"/>
      <c r="P263" s="15"/>
      <c r="Q263" s="37"/>
    </row>
    <row r="264" spans="1:36" ht="28.8">
      <c r="A264" s="36">
        <f>IF(G264&lt;&gt;"",1+MAX($A$1:A263),"")</f>
        <v>186</v>
      </c>
      <c r="B264" s="6"/>
      <c r="C264" s="7"/>
      <c r="D264" s="2" t="s">
        <v>181</v>
      </c>
      <c r="E264" s="8">
        <v>1679</v>
      </c>
      <c r="F264" s="9">
        <v>0.1</v>
      </c>
      <c r="G264" s="10">
        <f>E264*(1+F264)</f>
        <v>1846.9</v>
      </c>
      <c r="H264" s="1" t="s">
        <v>30</v>
      </c>
      <c r="I264" s="11">
        <v>0</v>
      </c>
      <c r="J264" s="12">
        <f t="shared" ref="J264" si="266">+I264*G264</f>
        <v>0</v>
      </c>
      <c r="K264" s="13">
        <v>0</v>
      </c>
      <c r="L264" s="14">
        <f t="shared" ref="L264" si="267">K264*J264</f>
        <v>0</v>
      </c>
      <c r="M264" s="14">
        <f t="shared" ref="M264" si="268">N264*G264</f>
        <v>0</v>
      </c>
      <c r="N264" s="14">
        <v>0</v>
      </c>
      <c r="O264" s="14">
        <f>(I264*K264)+N264</f>
        <v>0</v>
      </c>
      <c r="P264" s="15">
        <f>O264*G264</f>
        <v>0</v>
      </c>
      <c r="Q264" s="37"/>
    </row>
    <row r="265" spans="1:36" ht="15.6">
      <c r="A265" s="36"/>
      <c r="B265" s="6"/>
      <c r="C265" s="7"/>
      <c r="D265" s="2"/>
      <c r="E265" s="8"/>
      <c r="F265" s="9"/>
      <c r="G265" s="10"/>
      <c r="H265" s="1"/>
      <c r="I265" s="11"/>
      <c r="J265" s="12"/>
      <c r="K265" s="13"/>
      <c r="L265" s="14"/>
      <c r="M265" s="14"/>
      <c r="N265" s="14"/>
      <c r="O265" s="14"/>
      <c r="P265" s="15"/>
      <c r="Q265" s="37"/>
    </row>
    <row r="266" spans="1:36" ht="15.6">
      <c r="A266" s="36"/>
      <c r="B266" s="6"/>
      <c r="C266" s="1"/>
      <c r="D266" s="22" t="s">
        <v>180</v>
      </c>
      <c r="E266" s="8"/>
      <c r="F266" s="9"/>
      <c r="G266" s="10"/>
      <c r="H266" s="1"/>
      <c r="I266" s="11"/>
      <c r="J266" s="12"/>
      <c r="K266" s="13"/>
      <c r="L266" s="14"/>
      <c r="M266" s="14"/>
      <c r="N266" s="14"/>
      <c r="O266" s="14"/>
      <c r="P266" s="15"/>
      <c r="Q266" s="37"/>
    </row>
    <row r="267" spans="1:36" ht="28.8">
      <c r="A267" s="36">
        <f>IF(G267&lt;&gt;"",1+MAX($A$1:A266),"")</f>
        <v>187</v>
      </c>
      <c r="B267" s="6"/>
      <c r="C267" s="1"/>
      <c r="D267" s="2" t="s">
        <v>182</v>
      </c>
      <c r="E267" s="8">
        <f>E264-E21-E27-E33-E39-E45-E51-E57-E63--E69-E75-E81-E88-E93-E97-E101-E105-E109-E113-E117-E121-E125-E129-E133-E137</f>
        <v>962.02695370370407</v>
      </c>
      <c r="F267" s="9">
        <v>0.1</v>
      </c>
      <c r="G267" s="10">
        <f t="shared" ref="G267" si="269">E267*(1+F267)</f>
        <v>1058.2296490740746</v>
      </c>
      <c r="H267" s="1" t="s">
        <v>30</v>
      </c>
      <c r="I267" s="11">
        <v>0</v>
      </c>
      <c r="J267" s="12">
        <f t="shared" ref="J267" si="270">+I267*G267</f>
        <v>0</v>
      </c>
      <c r="K267" s="13">
        <v>0</v>
      </c>
      <c r="L267" s="14">
        <f t="shared" ref="L267" si="271">K267*J267</f>
        <v>0</v>
      </c>
      <c r="M267" s="14">
        <f t="shared" ref="M267" si="272">N267*G267</f>
        <v>0</v>
      </c>
      <c r="N267" s="14">
        <v>0</v>
      </c>
      <c r="O267" s="14">
        <f>(I267*K267)+N267</f>
        <v>0</v>
      </c>
      <c r="P267" s="15">
        <f>O267*G267</f>
        <v>0</v>
      </c>
      <c r="Q267" s="37"/>
    </row>
    <row r="268" spans="1:36" ht="16.2" thickBot="1">
      <c r="A268" s="36" t="str">
        <f>IF(G268&lt;&gt;"",1+MAX($A$1:A267),"")</f>
        <v/>
      </c>
      <c r="B268" s="6"/>
      <c r="C268" s="1"/>
      <c r="D268" s="41"/>
      <c r="E268" s="42"/>
      <c r="F268" s="43"/>
      <c r="G268" s="44"/>
      <c r="H268" s="45"/>
      <c r="I268" s="46"/>
      <c r="J268" s="47"/>
      <c r="K268" s="48"/>
      <c r="L268" s="49"/>
      <c r="M268" s="49"/>
      <c r="N268" s="49"/>
      <c r="O268" s="49"/>
      <c r="P268" s="50"/>
      <c r="Q268" s="51"/>
    </row>
    <row r="269" spans="1:36" ht="17.25" customHeight="1" thickBot="1">
      <c r="A269" s="36" t="str">
        <f>IF(G269&lt;&gt;"",1+MAX($A$1:A268),"")</f>
        <v/>
      </c>
      <c r="B269" s="6"/>
      <c r="C269" s="40"/>
      <c r="D269" s="52" t="s">
        <v>25</v>
      </c>
      <c r="E269" s="53"/>
      <c r="F269" s="54" t="s">
        <v>26</v>
      </c>
      <c r="G269" s="55"/>
      <c r="H269" s="53"/>
      <c r="I269" s="53"/>
      <c r="J269" s="53"/>
      <c r="K269" s="53"/>
      <c r="L269" s="56"/>
      <c r="M269" s="56"/>
      <c r="N269" s="56"/>
      <c r="O269" s="56"/>
      <c r="P269" s="56"/>
      <c r="Q269" s="57">
        <f>+SUM(P263:P267)</f>
        <v>0</v>
      </c>
    </row>
    <row r="270" spans="1:36" s="102" customFormat="1" ht="18" customHeight="1">
      <c r="A270" s="97" t="str">
        <f>IF(G270&lt;&gt;"",1+MAX($A$1:A261),"")</f>
        <v/>
      </c>
      <c r="B270" s="98"/>
      <c r="C270" s="99">
        <v>32</v>
      </c>
      <c r="D270" s="100" t="s">
        <v>154</v>
      </c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101"/>
    </row>
    <row r="271" spans="1:36" s="25" customFormat="1" ht="16.95" customHeight="1">
      <c r="A271" s="36" t="str">
        <f>IF(G271&lt;&gt;"",1+MAX($A$1:A270),"")</f>
        <v/>
      </c>
      <c r="B271" s="26"/>
      <c r="C271" s="21"/>
      <c r="D271" s="22" t="s">
        <v>155</v>
      </c>
      <c r="E271" s="8"/>
      <c r="F271" s="4"/>
      <c r="G271" s="4"/>
      <c r="H271" s="4"/>
      <c r="I271" s="27"/>
      <c r="J271" s="28"/>
      <c r="K271" s="29"/>
      <c r="L271" s="14"/>
      <c r="M271" s="14"/>
      <c r="N271" s="14"/>
      <c r="O271" s="14"/>
      <c r="P271" s="15"/>
      <c r="Q271" s="30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</row>
    <row r="272" spans="1:36" s="25" customFormat="1" ht="16.95" customHeight="1">
      <c r="A272" s="36">
        <f>IF(G272&lt;&gt;"",1+MAX($A$1:A271),"")</f>
        <v>188</v>
      </c>
      <c r="B272" s="81" t="s">
        <v>183</v>
      </c>
      <c r="C272" s="86" t="s">
        <v>184</v>
      </c>
      <c r="D272" s="61" t="s">
        <v>156</v>
      </c>
      <c r="E272" s="8">
        <v>924.25</v>
      </c>
      <c r="F272" s="9">
        <v>0.05</v>
      </c>
      <c r="G272" s="10">
        <f t="shared" ref="G272" si="273">E272*(1+F272)</f>
        <v>970.46250000000009</v>
      </c>
      <c r="H272" s="60" t="s">
        <v>29</v>
      </c>
      <c r="I272" s="11">
        <v>0</v>
      </c>
      <c r="J272" s="12">
        <f t="shared" ref="J272:J278" si="274">+I272*G272</f>
        <v>0</v>
      </c>
      <c r="K272" s="13">
        <v>0</v>
      </c>
      <c r="L272" s="14">
        <f t="shared" ref="L272:L278" si="275">K272*J272</f>
        <v>0</v>
      </c>
      <c r="M272" s="14">
        <f t="shared" ref="M272:M278" si="276">N272*G272</f>
        <v>0</v>
      </c>
      <c r="N272" s="14">
        <v>0</v>
      </c>
      <c r="O272" s="14">
        <f>(I272*K272)+N272</f>
        <v>0</v>
      </c>
      <c r="P272" s="15">
        <f>O272*G272</f>
        <v>0</v>
      </c>
      <c r="Q272" s="37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</row>
    <row r="273" spans="1:36" s="25" customFormat="1" ht="16.95" customHeight="1">
      <c r="A273" s="36">
        <f>IF(G273&lt;&gt;"",1+MAX($A$1:A272),"")</f>
        <v>189</v>
      </c>
      <c r="B273" s="82"/>
      <c r="C273" s="87"/>
      <c r="D273" s="61" t="s">
        <v>157</v>
      </c>
      <c r="E273" s="8">
        <v>119.29</v>
      </c>
      <c r="F273" s="9">
        <v>0.05</v>
      </c>
      <c r="G273" s="10">
        <f t="shared" ref="G273:G275" si="277">E273*(1+F273)</f>
        <v>125.25450000000001</v>
      </c>
      <c r="H273" s="60" t="s">
        <v>29</v>
      </c>
      <c r="I273" s="11">
        <v>0</v>
      </c>
      <c r="J273" s="12">
        <f t="shared" si="274"/>
        <v>0</v>
      </c>
      <c r="K273" s="13">
        <v>0</v>
      </c>
      <c r="L273" s="14">
        <f t="shared" si="275"/>
        <v>0</v>
      </c>
      <c r="M273" s="14">
        <f t="shared" si="276"/>
        <v>0</v>
      </c>
      <c r="N273" s="14">
        <v>0</v>
      </c>
      <c r="O273" s="14">
        <f>(I273*K273)+N273</f>
        <v>0</v>
      </c>
      <c r="P273" s="15">
        <f>O273*G273</f>
        <v>0</v>
      </c>
      <c r="Q273" s="37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</row>
    <row r="274" spans="1:36" s="25" customFormat="1" ht="16.95" customHeight="1">
      <c r="A274" s="36">
        <f>IF(G274&lt;&gt;"",1+MAX($A$1:A273),"")</f>
        <v>190</v>
      </c>
      <c r="B274" s="82"/>
      <c r="C274" s="87"/>
      <c r="D274" s="61" t="s">
        <v>158</v>
      </c>
      <c r="E274" s="8">
        <v>14.63</v>
      </c>
      <c r="F274" s="9">
        <v>0.05</v>
      </c>
      <c r="G274" s="10">
        <f t="shared" si="277"/>
        <v>15.361500000000001</v>
      </c>
      <c r="H274" s="60" t="s">
        <v>29</v>
      </c>
      <c r="I274" s="11">
        <v>0</v>
      </c>
      <c r="J274" s="12">
        <f t="shared" si="274"/>
        <v>0</v>
      </c>
      <c r="K274" s="13">
        <v>0</v>
      </c>
      <c r="L274" s="14">
        <f t="shared" si="275"/>
        <v>0</v>
      </c>
      <c r="M274" s="14">
        <f t="shared" si="276"/>
        <v>0</v>
      </c>
      <c r="N274" s="14">
        <v>0</v>
      </c>
      <c r="O274" s="14">
        <f>(I274*K274)+N274</f>
        <v>0</v>
      </c>
      <c r="P274" s="15">
        <f>O274*G274</f>
        <v>0</v>
      </c>
      <c r="Q274" s="37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</row>
    <row r="275" spans="1:36" s="25" customFormat="1" ht="16.95" customHeight="1">
      <c r="A275" s="36">
        <f>IF(G275&lt;&gt;"",1+MAX($A$1:A274),"")</f>
        <v>191</v>
      </c>
      <c r="B275" s="82"/>
      <c r="C275" s="87"/>
      <c r="D275" s="61" t="s">
        <v>159</v>
      </c>
      <c r="E275" s="8">
        <v>137.30000000000001</v>
      </c>
      <c r="F275" s="9">
        <v>0.05</v>
      </c>
      <c r="G275" s="10">
        <f t="shared" si="277"/>
        <v>144.16500000000002</v>
      </c>
      <c r="H275" s="60" t="s">
        <v>29</v>
      </c>
      <c r="I275" s="11">
        <v>0</v>
      </c>
      <c r="J275" s="12">
        <f t="shared" si="274"/>
        <v>0</v>
      </c>
      <c r="K275" s="13">
        <v>0</v>
      </c>
      <c r="L275" s="14">
        <f t="shared" si="275"/>
        <v>0</v>
      </c>
      <c r="M275" s="14">
        <f t="shared" si="276"/>
        <v>0</v>
      </c>
      <c r="N275" s="14">
        <v>0</v>
      </c>
      <c r="O275" s="14">
        <f>(I275*K275)+N275</f>
        <v>0</v>
      </c>
      <c r="P275" s="15">
        <f>O275*G275</f>
        <v>0</v>
      </c>
      <c r="Q275" s="37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</row>
    <row r="276" spans="1:36" s="25" customFormat="1" ht="16.95" customHeight="1">
      <c r="A276" s="36">
        <f>IF(G276&lt;&gt;"",1+MAX($A$1:A275),"")</f>
        <v>192</v>
      </c>
      <c r="B276" s="82"/>
      <c r="C276" s="87"/>
      <c r="D276" s="61" t="s">
        <v>160</v>
      </c>
      <c r="E276" s="8">
        <f>3637.83*0.42/27</f>
        <v>56.588466666666669</v>
      </c>
      <c r="F276" s="9">
        <v>0.1</v>
      </c>
      <c r="G276" s="10">
        <f t="shared" ref="G276:G277" si="278">E276*(1+F276)</f>
        <v>62.247313333333338</v>
      </c>
      <c r="H276" s="4" t="s">
        <v>30</v>
      </c>
      <c r="I276" s="11">
        <v>0</v>
      </c>
      <c r="J276" s="12">
        <f t="shared" si="274"/>
        <v>0</v>
      </c>
      <c r="K276" s="13">
        <v>0</v>
      </c>
      <c r="L276" s="14">
        <f t="shared" si="275"/>
        <v>0</v>
      </c>
      <c r="M276" s="14">
        <f t="shared" si="276"/>
        <v>0</v>
      </c>
      <c r="N276" s="14">
        <v>0</v>
      </c>
      <c r="O276" s="14">
        <f>(I276*K276)+N276</f>
        <v>0</v>
      </c>
      <c r="P276" s="15">
        <f>O276*G276</f>
        <v>0</v>
      </c>
      <c r="Q276" s="37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</row>
    <row r="277" spans="1:36" s="25" customFormat="1" ht="28.8">
      <c r="A277" s="36">
        <f>IF(G277&lt;&gt;"",1+MAX($A$1:A276),"")</f>
        <v>193</v>
      </c>
      <c r="B277" s="82"/>
      <c r="C277" s="87"/>
      <c r="D277" s="62" t="s">
        <v>161</v>
      </c>
      <c r="E277" s="8">
        <v>3637.83</v>
      </c>
      <c r="F277" s="9">
        <v>0.1</v>
      </c>
      <c r="G277" s="10">
        <f t="shared" si="278"/>
        <v>4001.6130000000003</v>
      </c>
      <c r="H277" s="4" t="s">
        <v>32</v>
      </c>
      <c r="I277" s="11">
        <v>0</v>
      </c>
      <c r="J277" s="12">
        <f t="shared" si="274"/>
        <v>0</v>
      </c>
      <c r="K277" s="13">
        <v>0</v>
      </c>
      <c r="L277" s="14">
        <f t="shared" si="275"/>
        <v>0</v>
      </c>
      <c r="M277" s="14">
        <f t="shared" si="276"/>
        <v>0</v>
      </c>
      <c r="N277" s="14">
        <v>0</v>
      </c>
      <c r="O277" s="14">
        <f>(I277*K277)+N277</f>
        <v>0</v>
      </c>
      <c r="P277" s="15">
        <f>O277*G277</f>
        <v>0</v>
      </c>
      <c r="Q277" s="37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</row>
    <row r="278" spans="1:36" s="25" customFormat="1" ht="16.95" customHeight="1">
      <c r="A278" s="36">
        <f>IF(G278&lt;&gt;"",1+MAX($A$1:A277),"")</f>
        <v>194</v>
      </c>
      <c r="B278" s="82"/>
      <c r="C278" s="87"/>
      <c r="D278" s="61" t="s">
        <v>162</v>
      </c>
      <c r="E278" s="8">
        <f>3637.83*0.5/27</f>
        <v>67.367222222222225</v>
      </c>
      <c r="F278" s="9">
        <v>0.1</v>
      </c>
      <c r="G278" s="10">
        <f t="shared" ref="G278" si="279">E278*(1+F278)</f>
        <v>74.103944444444451</v>
      </c>
      <c r="H278" s="4" t="s">
        <v>30</v>
      </c>
      <c r="I278" s="11">
        <v>0</v>
      </c>
      <c r="J278" s="12">
        <f t="shared" si="274"/>
        <v>0</v>
      </c>
      <c r="K278" s="13">
        <v>0</v>
      </c>
      <c r="L278" s="14">
        <f t="shared" si="275"/>
        <v>0</v>
      </c>
      <c r="M278" s="14">
        <f t="shared" si="276"/>
        <v>0</v>
      </c>
      <c r="N278" s="14">
        <v>0</v>
      </c>
      <c r="O278" s="14">
        <f>(I278*K278)+N278</f>
        <v>0</v>
      </c>
      <c r="P278" s="15">
        <f>O278*G278</f>
        <v>0</v>
      </c>
      <c r="Q278" s="37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</row>
    <row r="279" spans="1:36" s="25" customFormat="1" ht="16.95" customHeight="1">
      <c r="A279" s="36" t="str">
        <f>IF(G279&lt;&gt;"",1+MAX($A$1:A278),"")</f>
        <v/>
      </c>
      <c r="B279" s="82"/>
      <c r="C279" s="87"/>
      <c r="D279" s="61"/>
      <c r="E279" s="8"/>
      <c r="F279" s="60"/>
      <c r="G279" s="60"/>
      <c r="H279" s="60"/>
      <c r="I279" s="11"/>
      <c r="J279" s="12"/>
      <c r="K279" s="13"/>
      <c r="L279" s="14"/>
      <c r="M279" s="14"/>
      <c r="N279" s="14"/>
      <c r="O279" s="14"/>
      <c r="P279" s="15"/>
      <c r="Q279" s="37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</row>
    <row r="280" spans="1:36" s="25" customFormat="1" ht="16.95" customHeight="1">
      <c r="A280" s="36">
        <f>IF(G280&lt;&gt;"",1+MAX($A$1:A279),"")</f>
        <v>195</v>
      </c>
      <c r="B280" s="82"/>
      <c r="C280" s="87"/>
      <c r="D280" s="61" t="s">
        <v>163</v>
      </c>
      <c r="E280" s="8">
        <f>80.59*0.42/27</f>
        <v>1.2536222222222222</v>
      </c>
      <c r="F280" s="9">
        <v>0.1</v>
      </c>
      <c r="G280" s="10">
        <f t="shared" ref="G280:G281" si="280">E280*(1+F280)</f>
        <v>1.3789844444444446</v>
      </c>
      <c r="H280" s="4" t="s">
        <v>30</v>
      </c>
      <c r="I280" s="11">
        <v>0</v>
      </c>
      <c r="J280" s="12">
        <f t="shared" ref="J280:J282" si="281">+I280*G280</f>
        <v>0</v>
      </c>
      <c r="K280" s="13">
        <v>0</v>
      </c>
      <c r="L280" s="14">
        <f t="shared" ref="L280:L282" si="282">K280*J280</f>
        <v>0</v>
      </c>
      <c r="M280" s="14">
        <f t="shared" ref="M280:M282" si="283">N280*G280</f>
        <v>0</v>
      </c>
      <c r="N280" s="14">
        <v>0</v>
      </c>
      <c r="O280" s="14">
        <f>(I280*K280)+N280</f>
        <v>0</v>
      </c>
      <c r="P280" s="15">
        <f>O280*G280</f>
        <v>0</v>
      </c>
      <c r="Q280" s="37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</row>
    <row r="281" spans="1:36" s="25" customFormat="1" ht="28.8">
      <c r="A281" s="36">
        <f>IF(G281&lt;&gt;"",1+MAX($A$1:A280),"")</f>
        <v>196</v>
      </c>
      <c r="B281" s="82"/>
      <c r="C281" s="87"/>
      <c r="D281" s="62" t="s">
        <v>164</v>
      </c>
      <c r="E281" s="8">
        <v>80.59</v>
      </c>
      <c r="F281" s="9">
        <v>0.1</v>
      </c>
      <c r="G281" s="10">
        <f t="shared" si="280"/>
        <v>88.649000000000015</v>
      </c>
      <c r="H281" s="4" t="s">
        <v>32</v>
      </c>
      <c r="I281" s="11">
        <v>0</v>
      </c>
      <c r="J281" s="12">
        <f t="shared" si="281"/>
        <v>0</v>
      </c>
      <c r="K281" s="13">
        <v>0</v>
      </c>
      <c r="L281" s="14">
        <f t="shared" si="282"/>
        <v>0</v>
      </c>
      <c r="M281" s="14">
        <f t="shared" si="283"/>
        <v>0</v>
      </c>
      <c r="N281" s="14">
        <v>0</v>
      </c>
      <c r="O281" s="14">
        <f>(I281*K281)+N281</f>
        <v>0</v>
      </c>
      <c r="P281" s="15">
        <f>O281*G281</f>
        <v>0</v>
      </c>
      <c r="Q281" s="37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</row>
    <row r="282" spans="1:36" s="25" customFormat="1" ht="16.95" customHeight="1">
      <c r="A282" s="36">
        <f>IF(G282&lt;&gt;"",1+MAX($A$1:A281),"")</f>
        <v>197</v>
      </c>
      <c r="B282" s="82"/>
      <c r="C282" s="87"/>
      <c r="D282" s="61" t="s">
        <v>165</v>
      </c>
      <c r="E282" s="8">
        <f>80.59*0.5/27</f>
        <v>1.4924074074074074</v>
      </c>
      <c r="F282" s="9">
        <v>0.1</v>
      </c>
      <c r="G282" s="10">
        <f t="shared" ref="G282" si="284">E282*(1+F282)</f>
        <v>1.6416481481481482</v>
      </c>
      <c r="H282" s="4" t="s">
        <v>30</v>
      </c>
      <c r="I282" s="11">
        <v>0</v>
      </c>
      <c r="J282" s="12">
        <f t="shared" si="281"/>
        <v>0</v>
      </c>
      <c r="K282" s="13">
        <v>0</v>
      </c>
      <c r="L282" s="14">
        <f t="shared" si="282"/>
        <v>0</v>
      </c>
      <c r="M282" s="14">
        <f t="shared" si="283"/>
        <v>0</v>
      </c>
      <c r="N282" s="14">
        <v>0</v>
      </c>
      <c r="O282" s="14">
        <f>(I282*K282)+N282</f>
        <v>0</v>
      </c>
      <c r="P282" s="15">
        <f>O282*G282</f>
        <v>0</v>
      </c>
      <c r="Q282" s="37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</row>
    <row r="283" spans="1:36" s="25" customFormat="1" ht="16.95" customHeight="1">
      <c r="A283" s="36" t="str">
        <f>IF(G283&lt;&gt;"",1+MAX($A$1:A282),"")</f>
        <v/>
      </c>
      <c r="B283" s="82"/>
      <c r="C283" s="87"/>
      <c r="D283" s="61"/>
      <c r="E283" s="8"/>
      <c r="F283" s="60"/>
      <c r="G283" s="60"/>
      <c r="H283" s="60"/>
      <c r="I283" s="11"/>
      <c r="J283" s="12"/>
      <c r="K283" s="13"/>
      <c r="L283" s="14"/>
      <c r="M283" s="14"/>
      <c r="N283" s="14"/>
      <c r="O283" s="14"/>
      <c r="P283" s="15"/>
      <c r="Q283" s="37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</row>
    <row r="284" spans="1:36" s="25" customFormat="1" ht="16.95" customHeight="1">
      <c r="A284" s="36" t="str">
        <f>IF(G284&lt;&gt;"",1+MAX($A$1:A283),"")</f>
        <v/>
      </c>
      <c r="B284" s="82"/>
      <c r="C284" s="87"/>
      <c r="D284" s="22" t="s">
        <v>173</v>
      </c>
      <c r="E284" s="8"/>
      <c r="F284" s="60"/>
      <c r="G284" s="60"/>
      <c r="H284" s="60"/>
      <c r="I284" s="11"/>
      <c r="J284" s="12"/>
      <c r="K284" s="13"/>
      <c r="L284" s="14"/>
      <c r="M284" s="14"/>
      <c r="N284" s="14"/>
      <c r="O284" s="14"/>
      <c r="P284" s="15"/>
      <c r="Q284" s="37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</row>
    <row r="285" spans="1:36" s="25" customFormat="1" ht="16.95" customHeight="1">
      <c r="A285" s="36">
        <f>IF(G285&lt;&gt;"",1+MAX($A$1:A284),"")</f>
        <v>198</v>
      </c>
      <c r="B285" s="82"/>
      <c r="C285" s="87"/>
      <c r="D285" s="61" t="s">
        <v>166</v>
      </c>
      <c r="E285" s="8">
        <v>2</v>
      </c>
      <c r="F285" s="9">
        <v>0</v>
      </c>
      <c r="G285" s="10">
        <f t="shared" ref="G285:G286" si="285">E285*(1+F285)</f>
        <v>2</v>
      </c>
      <c r="H285" s="60" t="s">
        <v>33</v>
      </c>
      <c r="I285" s="11">
        <v>0</v>
      </c>
      <c r="J285" s="12">
        <f t="shared" ref="J285:J286" si="286">+I285*G285</f>
        <v>0</v>
      </c>
      <c r="K285" s="13">
        <v>0</v>
      </c>
      <c r="L285" s="14">
        <f t="shared" ref="L285:L286" si="287">K285*J285</f>
        <v>0</v>
      </c>
      <c r="M285" s="14">
        <f t="shared" ref="M285:M286" si="288">N285*G285</f>
        <v>0</v>
      </c>
      <c r="N285" s="14">
        <v>0</v>
      </c>
      <c r="O285" s="14">
        <f>(I285*K285)+N285</f>
        <v>0</v>
      </c>
      <c r="P285" s="15">
        <f>O285*G285</f>
        <v>0</v>
      </c>
      <c r="Q285" s="37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</row>
    <row r="286" spans="1:36" s="25" customFormat="1" ht="16.95" customHeight="1">
      <c r="A286" s="36">
        <f>IF(G286&lt;&gt;"",1+MAX($A$1:A285),"")</f>
        <v>199</v>
      </c>
      <c r="B286" s="82"/>
      <c r="C286" s="87"/>
      <c r="D286" s="61" t="s">
        <v>167</v>
      </c>
      <c r="E286" s="8">
        <v>6</v>
      </c>
      <c r="F286" s="9">
        <v>0</v>
      </c>
      <c r="G286" s="10">
        <f t="shared" si="285"/>
        <v>6</v>
      </c>
      <c r="H286" s="60" t="s">
        <v>33</v>
      </c>
      <c r="I286" s="11">
        <v>0</v>
      </c>
      <c r="J286" s="12">
        <f t="shared" si="286"/>
        <v>0</v>
      </c>
      <c r="K286" s="13">
        <v>0</v>
      </c>
      <c r="L286" s="14">
        <f t="shared" si="287"/>
        <v>0</v>
      </c>
      <c r="M286" s="14">
        <f t="shared" si="288"/>
        <v>0</v>
      </c>
      <c r="N286" s="14">
        <v>0</v>
      </c>
      <c r="O286" s="14">
        <f>(I286*K286)+N286</f>
        <v>0</v>
      </c>
      <c r="P286" s="15">
        <f>O286*G286</f>
        <v>0</v>
      </c>
      <c r="Q286" s="37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</row>
    <row r="287" spans="1:36" s="25" customFormat="1" ht="16.95" customHeight="1">
      <c r="A287" s="36" t="str">
        <f>IF(G287&lt;&gt;"",1+MAX($A$1:A286),"")</f>
        <v/>
      </c>
      <c r="B287" s="82"/>
      <c r="C287" s="87"/>
      <c r="D287" s="61"/>
      <c r="E287" s="8"/>
      <c r="F287" s="60"/>
      <c r="G287" s="60"/>
      <c r="H287" s="60"/>
      <c r="I287" s="11"/>
      <c r="J287" s="12"/>
      <c r="K287" s="13"/>
      <c r="L287" s="14"/>
      <c r="M287" s="14"/>
      <c r="N287" s="14"/>
      <c r="O287" s="14"/>
      <c r="P287" s="15"/>
      <c r="Q287" s="37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</row>
    <row r="288" spans="1:36" s="25" customFormat="1" ht="16.95" customHeight="1">
      <c r="A288" s="36" t="str">
        <f>IF(G288&lt;&gt;"",1+MAX($A$1:A287),"")</f>
        <v/>
      </c>
      <c r="B288" s="82"/>
      <c r="C288" s="87"/>
      <c r="D288" s="22" t="s">
        <v>174</v>
      </c>
      <c r="E288" s="8"/>
      <c r="F288" s="60"/>
      <c r="G288" s="60"/>
      <c r="H288" s="60"/>
      <c r="I288" s="11"/>
      <c r="J288" s="12"/>
      <c r="K288" s="13"/>
      <c r="L288" s="14"/>
      <c r="M288" s="14"/>
      <c r="N288" s="14"/>
      <c r="O288" s="14"/>
      <c r="P288" s="15"/>
      <c r="Q288" s="37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</row>
    <row r="289" spans="1:36" s="25" customFormat="1" ht="28.8">
      <c r="A289" s="36">
        <f>IF(G289&lt;&gt;"",1+MAX($A$1:A288),"")</f>
        <v>200</v>
      </c>
      <c r="B289" s="82"/>
      <c r="C289" s="87"/>
      <c r="D289" s="62" t="s">
        <v>168</v>
      </c>
      <c r="E289" s="8">
        <f>57*(3.1416*(0.17*0.17*5+0.75*0.75*4))/27</f>
        <v>15.880962533333332</v>
      </c>
      <c r="F289" s="9">
        <v>0.1</v>
      </c>
      <c r="G289" s="10">
        <f t="shared" ref="G289" si="289">E289*(1+F289)</f>
        <v>17.469058786666665</v>
      </c>
      <c r="H289" s="4" t="s">
        <v>30</v>
      </c>
      <c r="I289" s="11">
        <v>0</v>
      </c>
      <c r="J289" s="12">
        <f t="shared" ref="J289" si="290">+I289*G289</f>
        <v>0</v>
      </c>
      <c r="K289" s="13">
        <v>0</v>
      </c>
      <c r="L289" s="14">
        <f t="shared" ref="L289" si="291">K289*J289</f>
        <v>0</v>
      </c>
      <c r="M289" s="14">
        <f t="shared" ref="M289" si="292">N289*G289</f>
        <v>0</v>
      </c>
      <c r="N289" s="14">
        <v>0</v>
      </c>
      <c r="O289" s="14">
        <f>(I289*K289)+N289</f>
        <v>0</v>
      </c>
      <c r="P289" s="15">
        <f>O289*G289</f>
        <v>0</v>
      </c>
      <c r="Q289" s="37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</row>
    <row r="290" spans="1:36" s="25" customFormat="1" ht="15.6">
      <c r="A290" s="36" t="str">
        <f>IF(G290&lt;&gt;"",1+MAX($A$1:A289),"")</f>
        <v/>
      </c>
      <c r="B290" s="82"/>
      <c r="C290" s="87"/>
      <c r="D290" s="62"/>
      <c r="E290" s="8"/>
      <c r="F290" s="60"/>
      <c r="G290" s="60"/>
      <c r="H290" s="60"/>
      <c r="I290" s="11"/>
      <c r="J290" s="12"/>
      <c r="K290" s="13"/>
      <c r="L290" s="14"/>
      <c r="M290" s="14"/>
      <c r="N290" s="14"/>
      <c r="O290" s="14"/>
      <c r="P290" s="15"/>
      <c r="Q290" s="37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</row>
    <row r="291" spans="1:36" s="25" customFormat="1" ht="16.95" customHeight="1">
      <c r="A291" s="36" t="str">
        <f>IF(G291&lt;&gt;"",1+MAX($A$1:A290),"")</f>
        <v/>
      </c>
      <c r="B291" s="82"/>
      <c r="C291" s="87"/>
      <c r="D291" s="22" t="s">
        <v>175</v>
      </c>
      <c r="E291" s="8"/>
      <c r="F291" s="60"/>
      <c r="G291" s="60"/>
      <c r="H291" s="60"/>
      <c r="I291" s="11"/>
      <c r="J291" s="12"/>
      <c r="K291" s="13"/>
      <c r="L291" s="14"/>
      <c r="M291" s="14"/>
      <c r="N291" s="14"/>
      <c r="O291" s="14"/>
      <c r="P291" s="15"/>
      <c r="Q291" s="37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</row>
    <row r="292" spans="1:36" s="25" customFormat="1" ht="28.8">
      <c r="A292" s="36">
        <f>IF(G292&lt;&gt;"",1+MAX($A$1:A291),"")</f>
        <v>201</v>
      </c>
      <c r="B292" s="82"/>
      <c r="C292" s="87"/>
      <c r="D292" s="62" t="s">
        <v>169</v>
      </c>
      <c r="E292" s="8">
        <f>6758.22*0.5/27</f>
        <v>125.15222222222222</v>
      </c>
      <c r="F292" s="9">
        <v>0.1</v>
      </c>
      <c r="G292" s="10">
        <f t="shared" ref="G292" si="293">E292*(1+F292)</f>
        <v>137.66744444444444</v>
      </c>
      <c r="H292" s="4" t="s">
        <v>30</v>
      </c>
      <c r="I292" s="11">
        <v>0</v>
      </c>
      <c r="J292" s="12">
        <f t="shared" ref="J292" si="294">+I292*G292</f>
        <v>0</v>
      </c>
      <c r="K292" s="13">
        <v>0</v>
      </c>
      <c r="L292" s="14">
        <f t="shared" ref="L292" si="295">K292*J292</f>
        <v>0</v>
      </c>
      <c r="M292" s="14">
        <f t="shared" ref="M292" si="296">N292*G292</f>
        <v>0</v>
      </c>
      <c r="N292" s="14">
        <v>0</v>
      </c>
      <c r="O292" s="14">
        <f>(I292*K292)+N292</f>
        <v>0</v>
      </c>
      <c r="P292" s="15">
        <f>O292*G292</f>
        <v>0</v>
      </c>
      <c r="Q292" s="37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</row>
    <row r="293" spans="1:36" s="25" customFormat="1" ht="15.6">
      <c r="A293" s="36" t="str">
        <f>IF(G293&lt;&gt;"",1+MAX($A$1:A292),"")</f>
        <v/>
      </c>
      <c r="B293" s="82"/>
      <c r="C293" s="87"/>
      <c r="D293" s="62"/>
      <c r="E293" s="8"/>
      <c r="F293" s="60"/>
      <c r="G293" s="60"/>
      <c r="H293" s="60"/>
      <c r="I293" s="11"/>
      <c r="J293" s="12"/>
      <c r="K293" s="13"/>
      <c r="L293" s="14"/>
      <c r="M293" s="14"/>
      <c r="N293" s="14"/>
      <c r="O293" s="14"/>
      <c r="P293" s="15"/>
      <c r="Q293" s="37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</row>
    <row r="294" spans="1:36" s="25" customFormat="1" ht="16.95" customHeight="1">
      <c r="A294" s="36" t="str">
        <f>IF(G294&lt;&gt;"",1+MAX($A$1:A293),"")</f>
        <v/>
      </c>
      <c r="B294" s="82"/>
      <c r="C294" s="87"/>
      <c r="D294" s="22" t="s">
        <v>176</v>
      </c>
      <c r="E294" s="8"/>
      <c r="F294" s="60"/>
      <c r="G294" s="60"/>
      <c r="H294" s="60"/>
      <c r="I294" s="11"/>
      <c r="J294" s="12"/>
      <c r="K294" s="13"/>
      <c r="L294" s="14"/>
      <c r="M294" s="14"/>
      <c r="N294" s="14"/>
      <c r="O294" s="14"/>
      <c r="P294" s="15"/>
      <c r="Q294" s="37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</row>
    <row r="295" spans="1:36" s="25" customFormat="1" ht="28.8">
      <c r="A295" s="36">
        <f>IF(G295&lt;&gt;"",1+MAX($A$1:A294),"")</f>
        <v>202</v>
      </c>
      <c r="B295" s="82"/>
      <c r="C295" s="87"/>
      <c r="D295" s="62" t="s">
        <v>170</v>
      </c>
      <c r="E295" s="8">
        <f>61.06*0.5/27</f>
        <v>1.1307407407407408</v>
      </c>
      <c r="F295" s="9">
        <v>0.1</v>
      </c>
      <c r="G295" s="10">
        <f t="shared" ref="G295:G296" si="297">E295*(1+F295)</f>
        <v>1.2438148148148149</v>
      </c>
      <c r="H295" s="4" t="s">
        <v>30</v>
      </c>
      <c r="I295" s="11">
        <v>0</v>
      </c>
      <c r="J295" s="12">
        <f t="shared" ref="J295:J296" si="298">+I295*G295</f>
        <v>0</v>
      </c>
      <c r="K295" s="13">
        <v>0</v>
      </c>
      <c r="L295" s="14">
        <f t="shared" ref="L295:L296" si="299">K295*J295</f>
        <v>0</v>
      </c>
      <c r="M295" s="14">
        <f t="shared" ref="M295:M296" si="300">N295*G295</f>
        <v>0</v>
      </c>
      <c r="N295" s="14">
        <v>0</v>
      </c>
      <c r="O295" s="14">
        <f>(I295*K295)+N295</f>
        <v>0</v>
      </c>
      <c r="P295" s="15">
        <f>O295*G295</f>
        <v>0</v>
      </c>
      <c r="Q295" s="37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</row>
    <row r="296" spans="1:36" s="25" customFormat="1" ht="28.8">
      <c r="A296" s="36">
        <f>IF(G296&lt;&gt;"",1+MAX($A$1:A295),"")</f>
        <v>203</v>
      </c>
      <c r="B296" s="82"/>
      <c r="C296" s="87"/>
      <c r="D296" s="62" t="s">
        <v>171</v>
      </c>
      <c r="E296" s="8">
        <f>270.96*0.67/27</f>
        <v>6.7238222222222213</v>
      </c>
      <c r="F296" s="9">
        <v>0.1</v>
      </c>
      <c r="G296" s="10">
        <f t="shared" si="297"/>
        <v>7.3962044444444439</v>
      </c>
      <c r="H296" s="4" t="s">
        <v>30</v>
      </c>
      <c r="I296" s="11">
        <v>0</v>
      </c>
      <c r="J296" s="12">
        <f t="shared" si="298"/>
        <v>0</v>
      </c>
      <c r="K296" s="13">
        <v>0</v>
      </c>
      <c r="L296" s="14">
        <f t="shared" si="299"/>
        <v>0</v>
      </c>
      <c r="M296" s="14">
        <f t="shared" si="300"/>
        <v>0</v>
      </c>
      <c r="N296" s="14">
        <v>0</v>
      </c>
      <c r="O296" s="14">
        <f>(I296*K296)+N296</f>
        <v>0</v>
      </c>
      <c r="P296" s="15">
        <f>O296*G296</f>
        <v>0</v>
      </c>
      <c r="Q296" s="37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</row>
    <row r="297" spans="1:36" s="25" customFormat="1" ht="15.6">
      <c r="A297" s="36" t="str">
        <f>IF(G297&lt;&gt;"",1+MAX($A$1:A296),"")</f>
        <v/>
      </c>
      <c r="B297" s="82"/>
      <c r="C297" s="87"/>
      <c r="D297" s="62"/>
      <c r="E297" s="8"/>
      <c r="F297" s="60"/>
      <c r="G297" s="60"/>
      <c r="H297" s="60"/>
      <c r="I297" s="11"/>
      <c r="J297" s="12"/>
      <c r="K297" s="13"/>
      <c r="L297" s="14"/>
      <c r="M297" s="14"/>
      <c r="N297" s="14"/>
      <c r="O297" s="14"/>
      <c r="P297" s="15"/>
      <c r="Q297" s="37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</row>
    <row r="298" spans="1:36" s="25" customFormat="1" ht="16.95" customHeight="1">
      <c r="A298" s="36" t="str">
        <f>IF(G298&lt;&gt;"",1+MAX($A$1:A297),"")</f>
        <v/>
      </c>
      <c r="B298" s="82"/>
      <c r="C298" s="87"/>
      <c r="D298" s="22" t="s">
        <v>177</v>
      </c>
      <c r="E298" s="8"/>
      <c r="F298" s="60"/>
      <c r="G298" s="60"/>
      <c r="H298" s="60"/>
      <c r="I298" s="11"/>
      <c r="J298" s="12"/>
      <c r="K298" s="13"/>
      <c r="L298" s="14"/>
      <c r="M298" s="14"/>
      <c r="N298" s="14"/>
      <c r="O298" s="14"/>
      <c r="P298" s="15"/>
      <c r="Q298" s="37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</row>
    <row r="299" spans="1:36" s="25" customFormat="1" ht="28.8">
      <c r="A299" s="36">
        <f>IF(G299&lt;&gt;"",1+MAX($A$1:A298),"")</f>
        <v>204</v>
      </c>
      <c r="B299" s="83"/>
      <c r="C299" s="88"/>
      <c r="D299" s="62" t="s">
        <v>172</v>
      </c>
      <c r="E299" s="8">
        <f>125.25*1*1.5/27</f>
        <v>6.958333333333333</v>
      </c>
      <c r="F299" s="9">
        <v>0.1</v>
      </c>
      <c r="G299" s="10">
        <f t="shared" ref="G299" si="301">E299*(1+F299)</f>
        <v>7.6541666666666668</v>
      </c>
      <c r="H299" s="4" t="s">
        <v>30</v>
      </c>
      <c r="I299" s="11">
        <v>0</v>
      </c>
      <c r="J299" s="12">
        <f t="shared" ref="J299" si="302">+I299*G299</f>
        <v>0</v>
      </c>
      <c r="K299" s="13">
        <v>0</v>
      </c>
      <c r="L299" s="14">
        <f t="shared" ref="L299" si="303">K299*J299</f>
        <v>0</v>
      </c>
      <c r="M299" s="14">
        <f t="shared" ref="M299" si="304">N299*G299</f>
        <v>0</v>
      </c>
      <c r="N299" s="14">
        <v>0</v>
      </c>
      <c r="O299" s="14">
        <f>(I299*K299)+N299</f>
        <v>0</v>
      </c>
      <c r="P299" s="15">
        <f>O299*G299</f>
        <v>0</v>
      </c>
      <c r="Q299" s="37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</row>
    <row r="300" spans="1:36" s="25" customFormat="1" ht="16.95" customHeight="1" thickBot="1">
      <c r="A300" s="36"/>
      <c r="B300" s="32"/>
      <c r="C300" s="33"/>
      <c r="D300" s="3"/>
      <c r="E300" s="21"/>
      <c r="F300" s="9"/>
      <c r="G300" s="10"/>
      <c r="H300" s="4"/>
      <c r="I300" s="11"/>
      <c r="J300" s="12"/>
      <c r="K300" s="13"/>
      <c r="L300" s="14"/>
      <c r="M300" s="14"/>
      <c r="N300" s="14"/>
      <c r="O300" s="14"/>
      <c r="P300" s="15"/>
      <c r="Q300" s="37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</row>
    <row r="301" spans="1:36" ht="17.25" customHeight="1" thickBot="1">
      <c r="A301" s="36" t="str">
        <f>IF(G301&lt;&gt;"",1+MAX($A$1:A300),"")</f>
        <v/>
      </c>
      <c r="B301" s="6"/>
      <c r="C301" s="40"/>
      <c r="D301" s="52" t="s">
        <v>25</v>
      </c>
      <c r="E301" s="53"/>
      <c r="F301" s="54"/>
      <c r="G301" s="55"/>
      <c r="H301" s="53"/>
      <c r="I301" s="53"/>
      <c r="J301" s="53"/>
      <c r="K301" s="53"/>
      <c r="L301" s="56"/>
      <c r="M301" s="56"/>
      <c r="N301" s="56"/>
      <c r="O301" s="56"/>
      <c r="P301" s="56"/>
      <c r="Q301" s="57">
        <f>+SUM(P271:P300)</f>
        <v>0</v>
      </c>
    </row>
    <row r="302" spans="1:36" ht="14.4">
      <c r="A302" s="38"/>
      <c r="B302" s="6"/>
      <c r="C302" s="1"/>
      <c r="D302" s="16"/>
      <c r="E302" s="17"/>
      <c r="F302" s="17"/>
      <c r="G302" s="10"/>
      <c r="H302" s="17"/>
      <c r="I302" s="17"/>
      <c r="J302" s="17"/>
      <c r="K302" s="17"/>
      <c r="L302" s="18"/>
      <c r="M302" s="18"/>
      <c r="N302" s="18"/>
      <c r="O302" s="18"/>
      <c r="P302" s="18"/>
      <c r="Q302" s="39"/>
      <c r="S302" s="19"/>
    </row>
    <row r="303" spans="1:36" ht="14.4">
      <c r="A303" s="103"/>
      <c r="B303" s="104"/>
      <c r="C303" s="105"/>
      <c r="D303" s="106" t="s">
        <v>36</v>
      </c>
      <c r="E303" s="107"/>
      <c r="F303" s="107"/>
      <c r="G303" s="108"/>
      <c r="H303" s="107"/>
      <c r="I303" s="107"/>
      <c r="J303" s="107"/>
      <c r="K303" s="107"/>
      <c r="L303" s="109"/>
      <c r="M303" s="109"/>
      <c r="N303" s="109"/>
      <c r="O303" s="109"/>
      <c r="P303" s="109"/>
      <c r="Q303" s="110">
        <f>SUM(Q16:Q301)</f>
        <v>0</v>
      </c>
    </row>
    <row r="304" spans="1:36" ht="14.4">
      <c r="A304" s="103"/>
      <c r="B304" s="104"/>
      <c r="C304" s="111"/>
      <c r="D304" s="112" t="s">
        <v>37</v>
      </c>
      <c r="E304" s="113"/>
      <c r="F304" s="105"/>
      <c r="G304" s="113"/>
      <c r="H304" s="105"/>
      <c r="I304" s="105"/>
      <c r="J304" s="105"/>
      <c r="K304" s="105"/>
      <c r="L304" s="114">
        <v>0.05</v>
      </c>
      <c r="M304" s="114"/>
      <c r="N304" s="114"/>
      <c r="O304" s="114"/>
      <c r="P304" s="114"/>
      <c r="Q304" s="110">
        <f>Q303*L304</f>
        <v>0</v>
      </c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</row>
    <row r="305" spans="1:36" ht="14.4">
      <c r="A305" s="115"/>
      <c r="B305" s="116"/>
      <c r="C305" s="117"/>
      <c r="D305" s="118" t="s">
        <v>38</v>
      </c>
      <c r="E305" s="119"/>
      <c r="F305" s="120"/>
      <c r="G305" s="119"/>
      <c r="H305" s="120"/>
      <c r="I305" s="120"/>
      <c r="J305" s="120"/>
      <c r="K305" s="120"/>
      <c r="L305" s="121">
        <v>0.1</v>
      </c>
      <c r="M305" s="121"/>
      <c r="N305" s="121"/>
      <c r="O305" s="121"/>
      <c r="P305" s="121"/>
      <c r="Q305" s="122">
        <f>Q303*L305</f>
        <v>0</v>
      </c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</row>
    <row r="306" spans="1:36" ht="14.4">
      <c r="A306" s="123"/>
      <c r="B306" s="124"/>
      <c r="C306" s="125"/>
      <c r="D306" s="126" t="s">
        <v>39</v>
      </c>
      <c r="E306" s="127"/>
      <c r="F306" s="128"/>
      <c r="G306" s="127"/>
      <c r="H306" s="128"/>
      <c r="I306" s="128"/>
      <c r="J306" s="128"/>
      <c r="K306" s="128"/>
      <c r="L306" s="129">
        <v>8.5000000000000006E-2</v>
      </c>
      <c r="M306" s="129"/>
      <c r="N306" s="129"/>
      <c r="O306" s="129"/>
      <c r="P306" s="129"/>
      <c r="Q306" s="130">
        <f>Q303*L306</f>
        <v>0</v>
      </c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</row>
    <row r="307" spans="1:36" ht="14.4">
      <c r="A307" s="123"/>
      <c r="B307" s="124"/>
      <c r="C307" s="125"/>
      <c r="D307" s="126" t="s">
        <v>40</v>
      </c>
      <c r="E307" s="127"/>
      <c r="F307" s="128"/>
      <c r="G307" s="127"/>
      <c r="H307" s="128"/>
      <c r="I307" s="128"/>
      <c r="J307" s="128"/>
      <c r="K307" s="128"/>
      <c r="L307" s="131">
        <v>1.4999999999999999E-2</v>
      </c>
      <c r="M307" s="131"/>
      <c r="N307" s="131"/>
      <c r="O307" s="131"/>
      <c r="P307" s="131"/>
      <c r="Q307" s="130">
        <f>Q303*L307</f>
        <v>0</v>
      </c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</row>
    <row r="308" spans="1:36" thickBot="1">
      <c r="A308" s="132"/>
      <c r="B308" s="133"/>
      <c r="C308" s="134"/>
      <c r="D308" s="135" t="s">
        <v>41</v>
      </c>
      <c r="E308" s="136"/>
      <c r="F308" s="136"/>
      <c r="G308" s="137"/>
      <c r="H308" s="136"/>
      <c r="I308" s="136"/>
      <c r="J308" s="136"/>
      <c r="K308" s="136"/>
      <c r="L308" s="138"/>
      <c r="M308" s="138"/>
      <c r="N308" s="138"/>
      <c r="O308" s="138"/>
      <c r="P308" s="138"/>
      <c r="Q308" s="139">
        <f>SUM(Q303:Q307)</f>
        <v>0</v>
      </c>
    </row>
    <row r="309" spans="1:36" ht="15" customHeight="1">
      <c r="I309" s="35"/>
      <c r="J309" s="35"/>
      <c r="K309" s="35"/>
    </row>
    <row r="310" spans="1:36" ht="15" customHeight="1">
      <c r="I310" s="35"/>
      <c r="J310" s="35"/>
      <c r="K310" s="35"/>
    </row>
    <row r="311" spans="1:36" ht="15" customHeight="1">
      <c r="I311" s="35"/>
      <c r="J311" s="35"/>
      <c r="K311" s="35"/>
    </row>
    <row r="312" spans="1:36" ht="15" customHeight="1">
      <c r="I312" s="35"/>
      <c r="J312" s="35"/>
      <c r="K312" s="35"/>
    </row>
    <row r="313" spans="1:36" ht="15" customHeight="1">
      <c r="I313" s="35"/>
      <c r="J313" s="35"/>
      <c r="K313" s="35"/>
    </row>
    <row r="314" spans="1:36" ht="15" customHeight="1">
      <c r="I314" s="35"/>
      <c r="J314" s="35"/>
      <c r="K314" s="35"/>
    </row>
    <row r="315" spans="1:36" ht="15" customHeight="1">
      <c r="I315" s="35"/>
      <c r="J315" s="35"/>
      <c r="K315" s="35"/>
    </row>
    <row r="316" spans="1:36" ht="15" customHeight="1">
      <c r="I316" s="35"/>
      <c r="J316" s="35"/>
      <c r="K316" s="35"/>
    </row>
    <row r="317" spans="1:36" ht="15" customHeight="1">
      <c r="I317" s="35"/>
      <c r="J317" s="35"/>
      <c r="K317" s="35"/>
    </row>
    <row r="318" spans="1:36" ht="15" customHeight="1">
      <c r="I318" s="35"/>
      <c r="J318" s="35"/>
      <c r="K318" s="35"/>
    </row>
    <row r="319" spans="1:36" ht="15" customHeight="1">
      <c r="I319" s="35"/>
      <c r="J319" s="35"/>
      <c r="K319" s="35"/>
    </row>
    <row r="320" spans="1:36" ht="15" customHeight="1">
      <c r="I320" s="35"/>
      <c r="J320" s="35"/>
      <c r="K320" s="35"/>
    </row>
    <row r="321" spans="9:11" ht="15" customHeight="1">
      <c r="I321" s="35"/>
      <c r="J321" s="35"/>
      <c r="K321" s="35"/>
    </row>
    <row r="322" spans="9:11" ht="15" customHeight="1">
      <c r="I322" s="35"/>
      <c r="J322" s="35"/>
      <c r="K322" s="35"/>
    </row>
    <row r="323" spans="9:11" ht="15" customHeight="1">
      <c r="I323" s="35"/>
      <c r="J323" s="35"/>
      <c r="K323" s="35"/>
    </row>
    <row r="324" spans="9:11" ht="15" customHeight="1">
      <c r="I324" s="35"/>
      <c r="J324" s="35"/>
      <c r="K324" s="35"/>
    </row>
    <row r="325" spans="9:11" ht="15" customHeight="1">
      <c r="I325" s="35"/>
      <c r="J325" s="35"/>
      <c r="K325" s="35"/>
    </row>
    <row r="326" spans="9:11" ht="15" customHeight="1">
      <c r="I326" s="35"/>
      <c r="J326" s="35"/>
      <c r="K326" s="35"/>
    </row>
    <row r="327" spans="9:11" ht="15" customHeight="1">
      <c r="I327" s="35"/>
      <c r="J327" s="35"/>
      <c r="K327" s="35"/>
    </row>
    <row r="328" spans="9:11" ht="15" customHeight="1">
      <c r="I328" s="35"/>
      <c r="J328" s="35"/>
      <c r="K328" s="35"/>
    </row>
    <row r="329" spans="9:11" ht="15" customHeight="1">
      <c r="I329" s="35"/>
      <c r="J329" s="35"/>
      <c r="K329" s="35"/>
    </row>
    <row r="330" spans="9:11" ht="15" customHeight="1">
      <c r="I330" s="35"/>
      <c r="J330" s="35"/>
      <c r="K330" s="35"/>
    </row>
    <row r="331" spans="9:11" ht="15" customHeight="1">
      <c r="I331" s="35"/>
      <c r="J331" s="35"/>
      <c r="K331" s="35"/>
    </row>
    <row r="332" spans="9:11" ht="15" customHeight="1">
      <c r="I332" s="35"/>
      <c r="J332" s="35"/>
      <c r="K332" s="35"/>
    </row>
    <row r="333" spans="9:11" ht="15" customHeight="1">
      <c r="I333" s="35"/>
      <c r="J333" s="35"/>
      <c r="K333" s="35"/>
    </row>
    <row r="334" spans="9:11" ht="15" customHeight="1">
      <c r="I334" s="35"/>
      <c r="J334" s="35"/>
      <c r="K334" s="35"/>
    </row>
    <row r="335" spans="9:11" ht="15" customHeight="1">
      <c r="I335" s="35"/>
      <c r="J335" s="35"/>
      <c r="K335" s="35"/>
    </row>
    <row r="336" spans="9:11" ht="15" customHeight="1">
      <c r="I336" s="35"/>
      <c r="J336" s="35"/>
      <c r="K336" s="35"/>
    </row>
    <row r="337" spans="9:11" ht="15" customHeight="1">
      <c r="I337" s="35"/>
      <c r="J337" s="35"/>
      <c r="K337" s="35"/>
    </row>
    <row r="338" spans="9:11" ht="15" customHeight="1">
      <c r="I338" s="35"/>
      <c r="J338" s="35"/>
      <c r="K338" s="35"/>
    </row>
    <row r="339" spans="9:11" ht="15" customHeight="1">
      <c r="I339" s="35"/>
      <c r="J339" s="35"/>
      <c r="K339" s="35"/>
    </row>
    <row r="340" spans="9:11" ht="15" customHeight="1">
      <c r="I340" s="35"/>
      <c r="J340" s="35"/>
      <c r="K340" s="35"/>
    </row>
    <row r="341" spans="9:11" ht="15" customHeight="1">
      <c r="I341" s="35"/>
      <c r="J341" s="35"/>
      <c r="K341" s="35"/>
    </row>
    <row r="342" spans="9:11" ht="15" customHeight="1">
      <c r="I342" s="35"/>
      <c r="J342" s="35"/>
      <c r="K342" s="35"/>
    </row>
    <row r="343" spans="9:11" ht="15" customHeight="1">
      <c r="I343" s="35"/>
      <c r="J343" s="35"/>
      <c r="K343" s="35"/>
    </row>
    <row r="344" spans="9:11" ht="15" customHeight="1">
      <c r="I344" s="35"/>
      <c r="J344" s="35"/>
      <c r="K344" s="35"/>
    </row>
    <row r="345" spans="9:11" ht="15" customHeight="1">
      <c r="I345" s="35"/>
      <c r="J345" s="35"/>
      <c r="K345" s="35"/>
    </row>
    <row r="346" spans="9:11" ht="15" customHeight="1">
      <c r="I346" s="35"/>
      <c r="J346" s="35"/>
      <c r="K346" s="35"/>
    </row>
    <row r="347" spans="9:11" ht="15" customHeight="1">
      <c r="I347" s="35"/>
      <c r="J347" s="35"/>
      <c r="K347" s="35"/>
    </row>
    <row r="348" spans="9:11" ht="15" customHeight="1">
      <c r="I348" s="35"/>
      <c r="J348" s="35"/>
      <c r="K348" s="35"/>
    </row>
    <row r="349" spans="9:11" ht="15" customHeight="1">
      <c r="I349" s="35"/>
      <c r="J349" s="35"/>
      <c r="K349" s="35"/>
    </row>
    <row r="350" spans="9:11" ht="15" customHeight="1">
      <c r="I350" s="35"/>
      <c r="J350" s="35"/>
      <c r="K350" s="35"/>
    </row>
    <row r="351" spans="9:11" ht="15" customHeight="1">
      <c r="I351" s="35"/>
      <c r="J351" s="35"/>
      <c r="K351" s="35"/>
    </row>
    <row r="352" spans="9:11" ht="15" customHeight="1">
      <c r="I352" s="35"/>
      <c r="J352" s="35"/>
      <c r="K352" s="35"/>
    </row>
    <row r="353" spans="9:11" ht="15" customHeight="1">
      <c r="I353" s="35"/>
      <c r="J353" s="35"/>
      <c r="K353" s="35"/>
    </row>
    <row r="354" spans="9:11" ht="15" customHeight="1">
      <c r="I354" s="35"/>
      <c r="J354" s="35"/>
      <c r="K354" s="35"/>
    </row>
    <row r="355" spans="9:11" ht="15" customHeight="1">
      <c r="I355" s="35"/>
      <c r="J355" s="35"/>
      <c r="K355" s="35"/>
    </row>
    <row r="356" spans="9:11" ht="15" customHeight="1">
      <c r="I356" s="35"/>
      <c r="J356" s="35"/>
      <c r="K356" s="35"/>
    </row>
    <row r="357" spans="9:11" ht="15" customHeight="1">
      <c r="I357" s="35"/>
      <c r="J357" s="35"/>
      <c r="K357" s="35"/>
    </row>
    <row r="358" spans="9:11" ht="15" customHeight="1">
      <c r="I358" s="35"/>
      <c r="J358" s="35"/>
      <c r="K358" s="35"/>
    </row>
    <row r="359" spans="9:11" ht="15" customHeight="1">
      <c r="I359" s="35"/>
      <c r="J359" s="35"/>
      <c r="K359" s="35"/>
    </row>
    <row r="360" spans="9:11" ht="15" customHeight="1">
      <c r="I360" s="35"/>
      <c r="J360" s="35"/>
      <c r="K360" s="35"/>
    </row>
    <row r="361" spans="9:11" ht="15" customHeight="1">
      <c r="I361" s="35"/>
      <c r="J361" s="35"/>
      <c r="K361" s="35"/>
    </row>
    <row r="362" spans="9:11" ht="15" customHeight="1">
      <c r="I362" s="35"/>
      <c r="J362" s="35"/>
      <c r="K362" s="35"/>
    </row>
    <row r="363" spans="9:11" ht="15" customHeight="1">
      <c r="I363" s="35"/>
      <c r="J363" s="35"/>
      <c r="K363" s="35"/>
    </row>
    <row r="364" spans="9:11" ht="15" customHeight="1">
      <c r="I364" s="35"/>
      <c r="J364" s="35"/>
      <c r="K364" s="35"/>
    </row>
    <row r="365" spans="9:11" ht="15" customHeight="1">
      <c r="I365" s="35"/>
      <c r="J365" s="35"/>
      <c r="K365" s="35"/>
    </row>
    <row r="366" spans="9:11" ht="15" customHeight="1">
      <c r="I366" s="35"/>
      <c r="J366" s="35"/>
      <c r="K366" s="35"/>
    </row>
    <row r="367" spans="9:11" ht="15" customHeight="1">
      <c r="I367" s="35"/>
      <c r="J367" s="35"/>
      <c r="K367" s="35"/>
    </row>
    <row r="368" spans="9:11" ht="15" customHeight="1">
      <c r="I368" s="35"/>
      <c r="J368" s="35"/>
      <c r="K368" s="35"/>
    </row>
    <row r="369" spans="9:11" ht="15" customHeight="1">
      <c r="I369" s="35"/>
      <c r="J369" s="35"/>
      <c r="K369" s="35"/>
    </row>
    <row r="370" spans="9:11" ht="15" customHeight="1">
      <c r="I370" s="35"/>
      <c r="J370" s="35"/>
      <c r="K370" s="35"/>
    </row>
    <row r="371" spans="9:11" ht="15" customHeight="1">
      <c r="I371" s="35"/>
      <c r="J371" s="35"/>
      <c r="K371" s="35"/>
    </row>
    <row r="372" spans="9:11" ht="15" customHeight="1">
      <c r="I372" s="35"/>
      <c r="J372" s="35"/>
      <c r="K372" s="35"/>
    </row>
    <row r="373" spans="9:11" ht="15" customHeight="1">
      <c r="I373" s="35"/>
      <c r="J373" s="35"/>
      <c r="K373" s="35"/>
    </row>
    <row r="374" spans="9:11" ht="15" customHeight="1">
      <c r="I374" s="35"/>
      <c r="J374" s="35"/>
      <c r="K374" s="35"/>
    </row>
    <row r="375" spans="9:11" ht="15" customHeight="1">
      <c r="I375" s="35"/>
      <c r="J375" s="35"/>
      <c r="K375" s="35"/>
    </row>
    <row r="376" spans="9:11" ht="15" customHeight="1">
      <c r="I376" s="35"/>
      <c r="J376" s="35"/>
      <c r="K376" s="35"/>
    </row>
    <row r="377" spans="9:11" ht="15" customHeight="1">
      <c r="I377" s="35"/>
      <c r="J377" s="35"/>
      <c r="K377" s="35"/>
    </row>
    <row r="378" spans="9:11" ht="15" customHeight="1">
      <c r="I378" s="35"/>
      <c r="J378" s="35"/>
      <c r="K378" s="35"/>
    </row>
    <row r="379" spans="9:11" ht="15" customHeight="1">
      <c r="I379" s="35"/>
      <c r="J379" s="35"/>
      <c r="K379" s="35"/>
    </row>
    <row r="380" spans="9:11" ht="15" customHeight="1">
      <c r="I380" s="35"/>
      <c r="J380" s="35"/>
      <c r="K380" s="35"/>
    </row>
    <row r="381" spans="9:11" ht="15" customHeight="1">
      <c r="I381" s="35"/>
      <c r="J381" s="35"/>
      <c r="K381" s="35"/>
    </row>
    <row r="382" spans="9:11" ht="15" customHeight="1">
      <c r="I382" s="35"/>
      <c r="J382" s="35"/>
      <c r="K382" s="35"/>
    </row>
    <row r="383" spans="9:11" ht="15" customHeight="1">
      <c r="I383" s="35"/>
      <c r="J383" s="35"/>
      <c r="K383" s="35"/>
    </row>
    <row r="384" spans="9:11" ht="15" customHeight="1">
      <c r="I384" s="35"/>
      <c r="J384" s="35"/>
      <c r="K384" s="35"/>
    </row>
    <row r="385" spans="9:11" ht="15" customHeight="1">
      <c r="I385" s="35"/>
      <c r="J385" s="35"/>
      <c r="K385" s="35"/>
    </row>
    <row r="386" spans="9:11" ht="15" customHeight="1">
      <c r="I386" s="35"/>
      <c r="J386" s="35"/>
      <c r="K386" s="35"/>
    </row>
    <row r="387" spans="9:11" ht="15" customHeight="1">
      <c r="I387" s="35"/>
      <c r="J387" s="35"/>
      <c r="K387" s="35"/>
    </row>
    <row r="388" spans="9:11" ht="15" customHeight="1">
      <c r="I388" s="35"/>
      <c r="J388" s="35"/>
      <c r="K388" s="35"/>
    </row>
    <row r="389" spans="9:11" ht="15" customHeight="1">
      <c r="I389" s="35"/>
      <c r="J389" s="35"/>
      <c r="K389" s="35"/>
    </row>
    <row r="390" spans="9:11" ht="15" customHeight="1">
      <c r="I390" s="35"/>
      <c r="J390" s="35"/>
      <c r="K390" s="35"/>
    </row>
    <row r="391" spans="9:11" ht="15" customHeight="1">
      <c r="I391" s="35"/>
      <c r="J391" s="35"/>
      <c r="K391" s="35"/>
    </row>
    <row r="392" spans="9:11" ht="15" customHeight="1">
      <c r="I392" s="35"/>
      <c r="J392" s="35"/>
      <c r="K392" s="35"/>
    </row>
    <row r="393" spans="9:11" ht="15" customHeight="1">
      <c r="I393" s="35"/>
      <c r="J393" s="35"/>
      <c r="K393" s="35"/>
    </row>
    <row r="394" spans="9:11" ht="15" customHeight="1">
      <c r="I394" s="35"/>
      <c r="J394" s="35"/>
      <c r="K394" s="35"/>
    </row>
    <row r="395" spans="9:11" ht="15" customHeight="1">
      <c r="I395" s="35"/>
      <c r="J395" s="35"/>
      <c r="K395" s="35"/>
    </row>
    <row r="396" spans="9:11" ht="15" customHeight="1">
      <c r="I396" s="35"/>
      <c r="J396" s="35"/>
      <c r="K396" s="35"/>
    </row>
    <row r="397" spans="9:11" ht="15" customHeight="1">
      <c r="I397" s="35"/>
      <c r="J397" s="35"/>
      <c r="K397" s="35"/>
    </row>
    <row r="398" spans="9:11" ht="15" customHeight="1">
      <c r="I398" s="35"/>
      <c r="J398" s="35"/>
      <c r="K398" s="35"/>
    </row>
    <row r="399" spans="9:11" ht="15" customHeight="1">
      <c r="I399" s="35"/>
      <c r="J399" s="35"/>
      <c r="K399" s="35"/>
    </row>
    <row r="400" spans="9:11" ht="15" customHeight="1">
      <c r="I400" s="35"/>
      <c r="J400" s="35"/>
      <c r="K400" s="35"/>
    </row>
    <row r="401" spans="9:11" ht="15" customHeight="1">
      <c r="I401" s="35"/>
      <c r="J401" s="35"/>
      <c r="K401" s="35"/>
    </row>
    <row r="402" spans="9:11" ht="15" customHeight="1">
      <c r="I402" s="35"/>
      <c r="J402" s="35"/>
      <c r="K402" s="35"/>
    </row>
    <row r="403" spans="9:11" ht="15" customHeight="1">
      <c r="I403" s="35"/>
      <c r="J403" s="35"/>
      <c r="K403" s="35"/>
    </row>
    <row r="404" spans="9:11" ht="15" customHeight="1">
      <c r="I404" s="35"/>
      <c r="J404" s="35"/>
      <c r="K404" s="35"/>
    </row>
    <row r="405" spans="9:11" ht="15" customHeight="1">
      <c r="I405" s="35"/>
      <c r="J405" s="35"/>
      <c r="K405" s="35"/>
    </row>
    <row r="406" spans="9:11" ht="15" customHeight="1">
      <c r="I406" s="35"/>
      <c r="J406" s="35"/>
      <c r="K406" s="35"/>
    </row>
    <row r="407" spans="9:11" ht="15" customHeight="1">
      <c r="I407" s="35"/>
      <c r="J407" s="35"/>
      <c r="K407" s="35"/>
    </row>
    <row r="408" spans="9:11" ht="15" customHeight="1">
      <c r="I408" s="35"/>
      <c r="J408" s="35"/>
      <c r="K408" s="35"/>
    </row>
    <row r="409" spans="9:11" ht="15" customHeight="1">
      <c r="I409" s="35"/>
      <c r="J409" s="35"/>
      <c r="K409" s="35"/>
    </row>
    <row r="410" spans="9:11" ht="15" customHeight="1">
      <c r="I410" s="35"/>
      <c r="J410" s="35"/>
      <c r="K410" s="35"/>
    </row>
    <row r="411" spans="9:11" ht="15" customHeight="1">
      <c r="I411" s="35"/>
      <c r="J411" s="35"/>
      <c r="K411" s="35"/>
    </row>
    <row r="412" spans="9:11" ht="15" customHeight="1">
      <c r="I412" s="35"/>
      <c r="J412" s="35"/>
      <c r="K412" s="35"/>
    </row>
    <row r="413" spans="9:11" ht="15" customHeight="1">
      <c r="I413" s="35"/>
      <c r="J413" s="35"/>
      <c r="K413" s="35"/>
    </row>
    <row r="414" spans="9:11" ht="15" customHeight="1">
      <c r="I414" s="35"/>
      <c r="J414" s="35"/>
      <c r="K414" s="35"/>
    </row>
    <row r="415" spans="9:11" ht="15" customHeight="1">
      <c r="I415" s="35"/>
      <c r="J415" s="35"/>
      <c r="K415" s="35"/>
    </row>
    <row r="416" spans="9:11" ht="15" customHeight="1">
      <c r="I416" s="35"/>
      <c r="J416" s="35"/>
      <c r="K416" s="35"/>
    </row>
    <row r="417" spans="9:11" ht="15" customHeight="1">
      <c r="I417" s="35"/>
      <c r="J417" s="35"/>
      <c r="K417" s="35"/>
    </row>
    <row r="418" spans="9:11" ht="15" customHeight="1">
      <c r="I418" s="35"/>
      <c r="J418" s="35"/>
      <c r="K418" s="35"/>
    </row>
    <row r="419" spans="9:11" ht="15" customHeight="1">
      <c r="I419" s="35"/>
      <c r="J419" s="35"/>
      <c r="K419" s="35"/>
    </row>
    <row r="420" spans="9:11" ht="15" customHeight="1">
      <c r="I420" s="35"/>
      <c r="J420" s="35"/>
      <c r="K420" s="35"/>
    </row>
    <row r="421" spans="9:11" ht="15" customHeight="1">
      <c r="I421" s="35"/>
      <c r="J421" s="35"/>
      <c r="K421" s="35"/>
    </row>
    <row r="422" spans="9:11" ht="15" customHeight="1">
      <c r="I422" s="35"/>
      <c r="J422" s="35"/>
      <c r="K422" s="35"/>
    </row>
    <row r="423" spans="9:11" ht="15" customHeight="1">
      <c r="I423" s="35"/>
      <c r="J423" s="35"/>
      <c r="K423" s="35"/>
    </row>
    <row r="424" spans="9:11" ht="15" customHeight="1">
      <c r="I424" s="35"/>
      <c r="J424" s="35"/>
      <c r="K424" s="35"/>
    </row>
    <row r="425" spans="9:11" ht="15" customHeight="1">
      <c r="I425" s="35"/>
      <c r="J425" s="35"/>
      <c r="K425" s="35"/>
    </row>
    <row r="426" spans="9:11" ht="15" customHeight="1">
      <c r="I426" s="35"/>
      <c r="J426" s="35"/>
      <c r="K426" s="35"/>
    </row>
    <row r="427" spans="9:11" ht="15" customHeight="1">
      <c r="I427" s="35"/>
      <c r="J427" s="35"/>
      <c r="K427" s="35"/>
    </row>
    <row r="428" spans="9:11" ht="15" customHeight="1">
      <c r="I428" s="35"/>
      <c r="J428" s="35"/>
      <c r="K428" s="35"/>
    </row>
    <row r="429" spans="9:11" ht="15" customHeight="1">
      <c r="I429" s="35"/>
      <c r="J429" s="35"/>
      <c r="K429" s="35"/>
    </row>
    <row r="430" spans="9:11" ht="15" customHeight="1">
      <c r="I430" s="35"/>
      <c r="J430" s="35"/>
      <c r="K430" s="35"/>
    </row>
    <row r="431" spans="9:11" ht="15" customHeight="1">
      <c r="I431" s="35"/>
      <c r="J431" s="35"/>
      <c r="K431" s="35"/>
    </row>
    <row r="432" spans="9:11" ht="15" customHeight="1">
      <c r="I432" s="35"/>
      <c r="J432" s="35"/>
      <c r="K432" s="35"/>
    </row>
    <row r="433" spans="9:11" ht="15" customHeight="1">
      <c r="I433" s="35"/>
      <c r="J433" s="35"/>
      <c r="K433" s="35"/>
    </row>
    <row r="434" spans="9:11" ht="15" customHeight="1">
      <c r="I434" s="35"/>
      <c r="J434" s="35"/>
      <c r="K434" s="35"/>
    </row>
    <row r="435" spans="9:11" ht="15" customHeight="1">
      <c r="I435" s="35"/>
      <c r="J435" s="35"/>
      <c r="K435" s="35"/>
    </row>
    <row r="436" spans="9:11" ht="15" customHeight="1">
      <c r="I436" s="35"/>
      <c r="J436" s="35"/>
      <c r="K436" s="35"/>
    </row>
    <row r="437" spans="9:11" ht="15" customHeight="1">
      <c r="I437" s="35"/>
      <c r="J437" s="35"/>
      <c r="K437" s="35"/>
    </row>
    <row r="438" spans="9:11" ht="15" customHeight="1">
      <c r="I438" s="35"/>
      <c r="J438" s="35"/>
      <c r="K438" s="35"/>
    </row>
    <row r="439" spans="9:11" ht="15" customHeight="1">
      <c r="I439" s="35"/>
      <c r="J439" s="35"/>
      <c r="K439" s="35"/>
    </row>
    <row r="440" spans="9:11" ht="15" customHeight="1">
      <c r="I440" s="35"/>
      <c r="J440" s="35"/>
      <c r="K440" s="35"/>
    </row>
    <row r="441" spans="9:11" ht="15" customHeight="1">
      <c r="I441" s="35"/>
      <c r="J441" s="35"/>
      <c r="K441" s="35"/>
    </row>
    <row r="442" spans="9:11" ht="15" customHeight="1">
      <c r="I442" s="35"/>
      <c r="J442" s="35"/>
      <c r="K442" s="35"/>
    </row>
    <row r="443" spans="9:11" ht="15" customHeight="1">
      <c r="I443" s="35"/>
      <c r="J443" s="35"/>
      <c r="K443" s="35"/>
    </row>
    <row r="444" spans="9:11" ht="15" customHeight="1">
      <c r="I444" s="35"/>
      <c r="J444" s="35"/>
      <c r="K444" s="35"/>
    </row>
    <row r="445" spans="9:11" ht="15" customHeight="1">
      <c r="I445" s="35"/>
      <c r="J445" s="35"/>
      <c r="K445" s="35"/>
    </row>
    <row r="446" spans="9:11" ht="15" customHeight="1">
      <c r="I446" s="35"/>
      <c r="J446" s="35"/>
      <c r="K446" s="35"/>
    </row>
    <row r="447" spans="9:11" ht="15" customHeight="1">
      <c r="I447" s="35"/>
      <c r="J447" s="35"/>
      <c r="K447" s="35"/>
    </row>
    <row r="448" spans="9:11" ht="15" customHeight="1">
      <c r="I448" s="35"/>
      <c r="J448" s="35"/>
      <c r="K448" s="35"/>
    </row>
    <row r="449" spans="9:11" ht="15" customHeight="1">
      <c r="I449" s="35"/>
      <c r="J449" s="35"/>
      <c r="K449" s="35"/>
    </row>
    <row r="450" spans="9:11" ht="15" customHeight="1">
      <c r="I450" s="35"/>
      <c r="J450" s="35"/>
      <c r="K450" s="35"/>
    </row>
    <row r="451" spans="9:11" ht="15" customHeight="1">
      <c r="I451" s="35"/>
      <c r="J451" s="35"/>
      <c r="K451" s="35"/>
    </row>
    <row r="452" spans="9:11" ht="15" customHeight="1">
      <c r="I452" s="35"/>
      <c r="J452" s="35"/>
      <c r="K452" s="35"/>
    </row>
    <row r="453" spans="9:11" ht="15" customHeight="1">
      <c r="I453" s="35"/>
      <c r="J453" s="35"/>
      <c r="K453" s="35"/>
    </row>
    <row r="454" spans="9:11" ht="15" customHeight="1">
      <c r="I454" s="35"/>
      <c r="J454" s="35"/>
      <c r="K454" s="35"/>
    </row>
    <row r="455" spans="9:11" ht="15" customHeight="1">
      <c r="I455" s="35"/>
      <c r="J455" s="35"/>
      <c r="K455" s="35"/>
    </row>
    <row r="456" spans="9:11" ht="15" customHeight="1">
      <c r="I456" s="35"/>
      <c r="J456" s="35"/>
      <c r="K456" s="35"/>
    </row>
    <row r="457" spans="9:11" ht="15" customHeight="1">
      <c r="I457" s="35"/>
      <c r="J457" s="35"/>
      <c r="K457" s="35"/>
    </row>
    <row r="458" spans="9:11" ht="15" customHeight="1">
      <c r="I458" s="35"/>
      <c r="J458" s="35"/>
      <c r="K458" s="35"/>
    </row>
    <row r="459" spans="9:11" ht="15" customHeight="1">
      <c r="I459" s="35"/>
      <c r="J459" s="35"/>
      <c r="K459" s="35"/>
    </row>
    <row r="460" spans="9:11" ht="15" customHeight="1">
      <c r="I460" s="35"/>
      <c r="J460" s="35"/>
      <c r="K460" s="35"/>
    </row>
    <row r="461" spans="9:11" ht="15" customHeight="1">
      <c r="I461" s="35"/>
      <c r="J461" s="35"/>
      <c r="K461" s="35"/>
    </row>
    <row r="462" spans="9:11" ht="15" customHeight="1">
      <c r="I462" s="35"/>
      <c r="J462" s="35"/>
      <c r="K462" s="35"/>
    </row>
    <row r="463" spans="9:11" ht="15" customHeight="1">
      <c r="I463" s="35"/>
      <c r="J463" s="35"/>
      <c r="K463" s="35"/>
    </row>
    <row r="464" spans="9:11" ht="15" customHeight="1">
      <c r="I464" s="35"/>
      <c r="J464" s="35"/>
      <c r="K464" s="35"/>
    </row>
    <row r="465" spans="9:11" ht="15" customHeight="1">
      <c r="I465" s="35"/>
      <c r="J465" s="35"/>
      <c r="K465" s="35"/>
    </row>
    <row r="466" spans="9:11" ht="15" customHeight="1">
      <c r="I466" s="35"/>
      <c r="J466" s="35"/>
      <c r="K466" s="35"/>
    </row>
    <row r="467" spans="9:11" ht="15" customHeight="1">
      <c r="I467" s="35"/>
      <c r="J467" s="35"/>
      <c r="K467" s="35"/>
    </row>
    <row r="468" spans="9:11" ht="15" customHeight="1">
      <c r="I468" s="35"/>
      <c r="J468" s="35"/>
      <c r="K468" s="35"/>
    </row>
    <row r="469" spans="9:11" ht="15" customHeight="1">
      <c r="I469" s="35"/>
      <c r="J469" s="35"/>
      <c r="K469" s="35"/>
    </row>
    <row r="470" spans="9:11" ht="15" customHeight="1">
      <c r="I470" s="35"/>
      <c r="J470" s="35"/>
      <c r="K470" s="35"/>
    </row>
    <row r="471" spans="9:11" ht="15" customHeight="1">
      <c r="I471" s="35"/>
      <c r="J471" s="35"/>
      <c r="K471" s="35"/>
    </row>
    <row r="472" spans="9:11" ht="15" customHeight="1">
      <c r="I472" s="35"/>
      <c r="J472" s="35"/>
      <c r="K472" s="35"/>
    </row>
    <row r="473" spans="9:11" ht="15" customHeight="1">
      <c r="I473" s="35"/>
      <c r="J473" s="35"/>
      <c r="K473" s="35"/>
    </row>
    <row r="474" spans="9:11" ht="15" customHeight="1">
      <c r="I474" s="35"/>
      <c r="J474" s="35"/>
      <c r="K474" s="35"/>
    </row>
    <row r="475" spans="9:11" ht="15" customHeight="1">
      <c r="I475" s="35"/>
      <c r="J475" s="35"/>
      <c r="K475" s="35"/>
    </row>
    <row r="476" spans="9:11" ht="15" customHeight="1">
      <c r="I476" s="35"/>
      <c r="J476" s="35"/>
      <c r="K476" s="35"/>
    </row>
    <row r="477" spans="9:11" ht="15" customHeight="1">
      <c r="I477" s="35"/>
      <c r="J477" s="35"/>
      <c r="K477" s="35"/>
    </row>
    <row r="478" spans="9:11" ht="15" customHeight="1">
      <c r="I478" s="35"/>
      <c r="J478" s="35"/>
      <c r="K478" s="35"/>
    </row>
    <row r="479" spans="9:11" ht="15" customHeight="1">
      <c r="I479" s="35"/>
      <c r="J479" s="35"/>
      <c r="K479" s="35"/>
    </row>
    <row r="480" spans="9:11" ht="15" customHeight="1">
      <c r="I480" s="35"/>
      <c r="J480" s="35"/>
      <c r="K480" s="35"/>
    </row>
    <row r="481" spans="9:11" ht="15" customHeight="1">
      <c r="I481" s="35"/>
      <c r="J481" s="35"/>
      <c r="K481" s="35"/>
    </row>
    <row r="482" spans="9:11" ht="15" customHeight="1">
      <c r="I482" s="35"/>
      <c r="J482" s="35"/>
      <c r="K482" s="35"/>
    </row>
    <row r="483" spans="9:11" ht="15" customHeight="1">
      <c r="I483" s="35"/>
      <c r="J483" s="35"/>
      <c r="K483" s="35"/>
    </row>
    <row r="484" spans="9:11" ht="15" customHeight="1">
      <c r="I484" s="35"/>
      <c r="J484" s="35"/>
      <c r="K484" s="35"/>
    </row>
    <row r="485" spans="9:11" ht="15" customHeight="1">
      <c r="I485" s="35"/>
      <c r="J485" s="35"/>
      <c r="K485" s="35"/>
    </row>
    <row r="486" spans="9:11" ht="15" customHeight="1">
      <c r="I486" s="35"/>
      <c r="J486" s="35"/>
      <c r="K486" s="35"/>
    </row>
    <row r="487" spans="9:11" ht="15" customHeight="1">
      <c r="I487" s="35"/>
      <c r="J487" s="35"/>
      <c r="K487" s="35"/>
    </row>
    <row r="488" spans="9:11" ht="15" customHeight="1">
      <c r="I488" s="35"/>
      <c r="J488" s="35"/>
      <c r="K488" s="35"/>
    </row>
    <row r="489" spans="9:11" ht="15" customHeight="1">
      <c r="I489" s="35"/>
      <c r="J489" s="35"/>
      <c r="K489" s="35"/>
    </row>
    <row r="490" spans="9:11" ht="15" customHeight="1">
      <c r="I490" s="35"/>
      <c r="J490" s="35"/>
      <c r="K490" s="35"/>
    </row>
    <row r="491" spans="9:11" ht="15" customHeight="1">
      <c r="I491" s="35"/>
      <c r="J491" s="35"/>
      <c r="K491" s="35"/>
    </row>
    <row r="492" spans="9:11" ht="15" customHeight="1">
      <c r="I492" s="35"/>
      <c r="J492" s="35"/>
      <c r="K492" s="35"/>
    </row>
    <row r="493" spans="9:11" ht="15" customHeight="1">
      <c r="I493" s="35"/>
      <c r="J493" s="35"/>
      <c r="K493" s="35"/>
    </row>
    <row r="494" spans="9:11" ht="15" customHeight="1">
      <c r="I494" s="35"/>
      <c r="J494" s="35"/>
      <c r="K494" s="35"/>
    </row>
    <row r="495" spans="9:11" ht="15" customHeight="1">
      <c r="I495" s="35"/>
      <c r="J495" s="35"/>
      <c r="K495" s="35"/>
    </row>
    <row r="496" spans="9:11" ht="15" customHeight="1">
      <c r="I496" s="35"/>
      <c r="J496" s="35"/>
      <c r="K496" s="35"/>
    </row>
    <row r="497" spans="9:11" ht="15" customHeight="1">
      <c r="I497" s="35"/>
      <c r="J497" s="35"/>
      <c r="K497" s="35"/>
    </row>
    <row r="498" spans="9:11" ht="15" customHeight="1">
      <c r="I498" s="35"/>
      <c r="J498" s="35"/>
      <c r="K498" s="35"/>
    </row>
    <row r="499" spans="9:11" ht="15" customHeight="1">
      <c r="I499" s="35"/>
      <c r="J499" s="35"/>
      <c r="K499" s="35"/>
    </row>
    <row r="500" spans="9:11" ht="15" customHeight="1">
      <c r="I500" s="35"/>
      <c r="J500" s="35"/>
      <c r="K500" s="35"/>
    </row>
    <row r="501" spans="9:11" ht="15" customHeight="1">
      <c r="I501" s="35"/>
      <c r="J501" s="35"/>
      <c r="K501" s="35"/>
    </row>
    <row r="502" spans="9:11" ht="15" customHeight="1">
      <c r="I502" s="35"/>
      <c r="J502" s="35"/>
      <c r="K502" s="35"/>
    </row>
    <row r="503" spans="9:11" ht="15" customHeight="1">
      <c r="I503" s="35"/>
      <c r="J503" s="35"/>
      <c r="K503" s="35"/>
    </row>
    <row r="504" spans="9:11" ht="15" customHeight="1">
      <c r="I504" s="35"/>
      <c r="J504" s="35"/>
      <c r="K504" s="35"/>
    </row>
    <row r="505" spans="9:11" ht="15" customHeight="1">
      <c r="I505" s="35"/>
      <c r="J505" s="35"/>
      <c r="K505" s="35"/>
    </row>
    <row r="506" spans="9:11" ht="15" customHeight="1">
      <c r="I506" s="35"/>
      <c r="J506" s="35"/>
      <c r="K506" s="35"/>
    </row>
    <row r="507" spans="9:11" ht="15" customHeight="1">
      <c r="I507" s="35"/>
      <c r="J507" s="35"/>
      <c r="K507" s="35"/>
    </row>
    <row r="508" spans="9:11" ht="15" customHeight="1">
      <c r="I508" s="35"/>
      <c r="J508" s="35"/>
      <c r="K508" s="35"/>
    </row>
    <row r="509" spans="9:11" ht="15" customHeight="1">
      <c r="I509" s="35"/>
      <c r="J509" s="35"/>
      <c r="K509" s="35"/>
    </row>
    <row r="510" spans="9:11" ht="15" customHeight="1">
      <c r="I510" s="35"/>
      <c r="J510" s="35"/>
      <c r="K510" s="35"/>
    </row>
    <row r="511" spans="9:11" ht="15" customHeight="1">
      <c r="I511" s="35"/>
      <c r="J511" s="35"/>
      <c r="K511" s="35"/>
    </row>
    <row r="512" spans="9:11" ht="15" customHeight="1">
      <c r="I512" s="35"/>
      <c r="J512" s="35"/>
      <c r="K512" s="35"/>
    </row>
    <row r="513" spans="9:11" ht="15" customHeight="1">
      <c r="I513" s="35"/>
      <c r="J513" s="35"/>
      <c r="K513" s="35"/>
    </row>
    <row r="514" spans="9:11" ht="15" customHeight="1">
      <c r="I514" s="35"/>
      <c r="J514" s="35"/>
      <c r="K514" s="35"/>
    </row>
    <row r="515" spans="9:11" ht="15" customHeight="1">
      <c r="I515" s="35"/>
      <c r="J515" s="35"/>
      <c r="K515" s="35"/>
    </row>
    <row r="516" spans="9:11" ht="15" customHeight="1">
      <c r="I516" s="35"/>
      <c r="J516" s="35"/>
      <c r="K516" s="35"/>
    </row>
    <row r="517" spans="9:11" ht="15" customHeight="1">
      <c r="I517" s="35"/>
      <c r="J517" s="35"/>
      <c r="K517" s="35"/>
    </row>
    <row r="518" spans="9:11" ht="15" customHeight="1">
      <c r="I518" s="35"/>
      <c r="J518" s="35"/>
      <c r="K518" s="35"/>
    </row>
    <row r="519" spans="9:11" ht="15" customHeight="1">
      <c r="I519" s="35"/>
      <c r="J519" s="35"/>
      <c r="K519" s="35"/>
    </row>
    <row r="520" spans="9:11" ht="15" customHeight="1">
      <c r="I520" s="35"/>
      <c r="J520" s="35"/>
      <c r="K520" s="35"/>
    </row>
    <row r="521" spans="9:11" ht="15" customHeight="1">
      <c r="I521" s="35"/>
      <c r="J521" s="35"/>
      <c r="K521" s="35"/>
    </row>
    <row r="522" spans="9:11" ht="15" customHeight="1">
      <c r="I522" s="35"/>
      <c r="J522" s="35"/>
      <c r="K522" s="35"/>
    </row>
    <row r="523" spans="9:11" ht="15" customHeight="1">
      <c r="I523" s="35"/>
      <c r="J523" s="35"/>
      <c r="K523" s="35"/>
    </row>
    <row r="524" spans="9:11" ht="15" customHeight="1">
      <c r="I524" s="35"/>
      <c r="J524" s="35"/>
      <c r="K524" s="35"/>
    </row>
    <row r="525" spans="9:11" ht="15" customHeight="1">
      <c r="I525" s="35"/>
      <c r="J525" s="35"/>
      <c r="K525" s="35"/>
    </row>
    <row r="526" spans="9:11" ht="15" customHeight="1">
      <c r="I526" s="35"/>
      <c r="J526" s="35"/>
      <c r="K526" s="35"/>
    </row>
    <row r="527" spans="9:11" ht="15" customHeight="1">
      <c r="I527" s="35"/>
      <c r="J527" s="35"/>
      <c r="K527" s="35"/>
    </row>
    <row r="528" spans="9:11" ht="15" customHeight="1">
      <c r="I528" s="35"/>
      <c r="J528" s="35"/>
      <c r="K528" s="35"/>
    </row>
    <row r="529" spans="9:11" ht="15" customHeight="1">
      <c r="I529" s="35"/>
      <c r="J529" s="35"/>
      <c r="K529" s="35"/>
    </row>
    <row r="530" spans="9:11" ht="15" customHeight="1">
      <c r="I530" s="35"/>
      <c r="J530" s="35"/>
      <c r="K530" s="35"/>
    </row>
    <row r="531" spans="9:11" ht="15" customHeight="1">
      <c r="I531" s="35"/>
      <c r="J531" s="35"/>
      <c r="K531" s="35"/>
    </row>
    <row r="532" spans="9:11" ht="15" customHeight="1">
      <c r="I532" s="35"/>
      <c r="J532" s="35"/>
      <c r="K532" s="35"/>
    </row>
    <row r="533" spans="9:11" ht="15" customHeight="1">
      <c r="I533" s="35"/>
      <c r="J533" s="35"/>
      <c r="K533" s="35"/>
    </row>
    <row r="534" spans="9:11" ht="15" customHeight="1">
      <c r="I534" s="35"/>
      <c r="J534" s="35"/>
      <c r="K534" s="35"/>
    </row>
    <row r="535" spans="9:11" ht="15" customHeight="1">
      <c r="I535" s="35"/>
      <c r="J535" s="35"/>
      <c r="K535" s="35"/>
    </row>
    <row r="536" spans="9:11" ht="15" customHeight="1">
      <c r="I536" s="35"/>
      <c r="J536" s="35"/>
      <c r="K536" s="35"/>
    </row>
    <row r="537" spans="9:11" ht="15" customHeight="1">
      <c r="I537" s="35"/>
      <c r="J537" s="35"/>
      <c r="K537" s="35"/>
    </row>
    <row r="538" spans="9:11" ht="15" customHeight="1">
      <c r="I538" s="35"/>
      <c r="J538" s="35"/>
      <c r="K538" s="35"/>
    </row>
    <row r="539" spans="9:11" ht="15" customHeight="1">
      <c r="I539" s="35"/>
      <c r="J539" s="35"/>
      <c r="K539" s="35"/>
    </row>
    <row r="540" spans="9:11" ht="15" customHeight="1">
      <c r="I540" s="35"/>
      <c r="J540" s="35"/>
      <c r="K540" s="35"/>
    </row>
    <row r="541" spans="9:11" ht="15" customHeight="1">
      <c r="I541" s="35"/>
      <c r="J541" s="35"/>
      <c r="K541" s="35"/>
    </row>
    <row r="542" spans="9:11" ht="15" customHeight="1">
      <c r="I542" s="35"/>
      <c r="J542" s="35"/>
      <c r="K542" s="35"/>
    </row>
    <row r="543" spans="9:11" ht="15" customHeight="1">
      <c r="I543" s="35"/>
      <c r="J543" s="35"/>
      <c r="K543" s="35"/>
    </row>
    <row r="544" spans="9:11" ht="15" customHeight="1">
      <c r="I544" s="35"/>
      <c r="J544" s="35"/>
      <c r="K544" s="35"/>
    </row>
    <row r="545" spans="9:11" ht="15" customHeight="1">
      <c r="I545" s="35"/>
      <c r="J545" s="35"/>
      <c r="K545" s="35"/>
    </row>
    <row r="546" spans="9:11" ht="15" customHeight="1">
      <c r="I546" s="35"/>
      <c r="J546" s="35"/>
      <c r="K546" s="35"/>
    </row>
    <row r="547" spans="9:11" ht="15" customHeight="1">
      <c r="I547" s="35"/>
      <c r="J547" s="35"/>
      <c r="K547" s="35"/>
    </row>
    <row r="548" spans="9:11" ht="15" customHeight="1">
      <c r="I548" s="35"/>
      <c r="J548" s="35"/>
      <c r="K548" s="35"/>
    </row>
    <row r="549" spans="9:11" ht="15" customHeight="1">
      <c r="I549" s="35"/>
      <c r="J549" s="35"/>
      <c r="K549" s="35"/>
    </row>
    <row r="550" spans="9:11" ht="15" customHeight="1">
      <c r="I550" s="35"/>
      <c r="J550" s="35"/>
      <c r="K550" s="35"/>
    </row>
    <row r="551" spans="9:11" ht="15" customHeight="1">
      <c r="I551" s="35"/>
      <c r="J551" s="35"/>
      <c r="K551" s="35"/>
    </row>
    <row r="552" spans="9:11" ht="15" customHeight="1">
      <c r="I552" s="35"/>
      <c r="J552" s="35"/>
      <c r="K552" s="35"/>
    </row>
    <row r="553" spans="9:11" ht="15" customHeight="1">
      <c r="I553" s="35"/>
      <c r="J553" s="35"/>
      <c r="K553" s="35"/>
    </row>
    <row r="554" spans="9:11" ht="15" customHeight="1">
      <c r="I554" s="35"/>
      <c r="J554" s="35"/>
      <c r="K554" s="35"/>
    </row>
    <row r="555" spans="9:11" ht="15" customHeight="1">
      <c r="I555" s="35"/>
      <c r="J555" s="35"/>
      <c r="K555" s="35"/>
    </row>
    <row r="556" spans="9:11" ht="15" customHeight="1">
      <c r="I556" s="35"/>
      <c r="J556" s="35"/>
      <c r="K556" s="35"/>
    </row>
    <row r="557" spans="9:11" ht="15" customHeight="1">
      <c r="I557" s="35"/>
      <c r="J557" s="35"/>
      <c r="K557" s="35"/>
    </row>
    <row r="558" spans="9:11" ht="15" customHeight="1">
      <c r="I558" s="35"/>
      <c r="J558" s="35"/>
      <c r="K558" s="35"/>
    </row>
    <row r="559" spans="9:11" ht="15" customHeight="1">
      <c r="I559" s="35"/>
      <c r="J559" s="35"/>
      <c r="K559" s="35"/>
    </row>
    <row r="560" spans="9:11" ht="15" customHeight="1">
      <c r="I560" s="35"/>
      <c r="J560" s="35"/>
      <c r="K560" s="35"/>
    </row>
    <row r="561" spans="9:11" ht="15" customHeight="1">
      <c r="I561" s="35"/>
      <c r="J561" s="35"/>
      <c r="K561" s="35"/>
    </row>
    <row r="562" spans="9:11" ht="15" customHeight="1">
      <c r="I562" s="35"/>
      <c r="J562" s="35"/>
      <c r="K562" s="35"/>
    </row>
    <row r="563" spans="9:11" ht="15" customHeight="1">
      <c r="I563" s="35"/>
      <c r="J563" s="35"/>
      <c r="K563" s="35"/>
    </row>
    <row r="564" spans="9:11" ht="15" customHeight="1">
      <c r="I564" s="35"/>
      <c r="J564" s="35"/>
      <c r="K564" s="35"/>
    </row>
    <row r="565" spans="9:11" ht="15" customHeight="1">
      <c r="I565" s="35"/>
      <c r="J565" s="35"/>
      <c r="K565" s="35"/>
    </row>
    <row r="566" spans="9:11" ht="15" customHeight="1">
      <c r="I566" s="35"/>
      <c r="J566" s="35"/>
      <c r="K566" s="35"/>
    </row>
    <row r="567" spans="9:11" ht="15" customHeight="1">
      <c r="I567" s="35"/>
      <c r="J567" s="35"/>
      <c r="K567" s="35"/>
    </row>
    <row r="568" spans="9:11" ht="15" customHeight="1">
      <c r="I568" s="35"/>
      <c r="J568" s="35"/>
      <c r="K568" s="35"/>
    </row>
    <row r="569" spans="9:11" ht="15" customHeight="1">
      <c r="I569" s="35"/>
      <c r="J569" s="35"/>
      <c r="K569" s="35"/>
    </row>
    <row r="570" spans="9:11" ht="15" customHeight="1">
      <c r="I570" s="35"/>
      <c r="J570" s="35"/>
      <c r="K570" s="35"/>
    </row>
    <row r="571" spans="9:11" ht="15" customHeight="1">
      <c r="I571" s="35"/>
      <c r="J571" s="35"/>
      <c r="K571" s="35"/>
    </row>
    <row r="572" spans="9:11" ht="15" customHeight="1">
      <c r="I572" s="35"/>
      <c r="J572" s="35"/>
      <c r="K572" s="35"/>
    </row>
    <row r="573" spans="9:11" ht="15" customHeight="1">
      <c r="I573" s="35"/>
      <c r="J573" s="35"/>
      <c r="K573" s="35"/>
    </row>
    <row r="574" spans="9:11" ht="15" customHeight="1">
      <c r="I574" s="35"/>
      <c r="J574" s="35"/>
      <c r="K574" s="35"/>
    </row>
    <row r="575" spans="9:11" ht="15" customHeight="1">
      <c r="I575" s="35"/>
      <c r="J575" s="35"/>
      <c r="K575" s="35"/>
    </row>
    <row r="576" spans="9:11" ht="15" customHeight="1">
      <c r="I576" s="35"/>
      <c r="J576" s="35"/>
      <c r="K576" s="35"/>
    </row>
    <row r="577" spans="9:11" ht="15" customHeight="1">
      <c r="I577" s="35"/>
      <c r="J577" s="35"/>
      <c r="K577" s="35"/>
    </row>
    <row r="578" spans="9:11" ht="15" customHeight="1">
      <c r="I578" s="35"/>
      <c r="J578" s="35"/>
      <c r="K578" s="35"/>
    </row>
    <row r="579" spans="9:11" ht="15" customHeight="1">
      <c r="I579" s="35"/>
      <c r="J579" s="35"/>
      <c r="K579" s="35"/>
    </row>
    <row r="580" spans="9:11" ht="15" customHeight="1">
      <c r="I580" s="35"/>
      <c r="J580" s="35"/>
      <c r="K580" s="35"/>
    </row>
    <row r="581" spans="9:11" ht="15" customHeight="1">
      <c r="I581" s="35"/>
      <c r="J581" s="35"/>
      <c r="K581" s="35"/>
    </row>
    <row r="582" spans="9:11" ht="15" customHeight="1">
      <c r="I582" s="35"/>
      <c r="J582" s="35"/>
      <c r="K582" s="35"/>
    </row>
    <row r="583" spans="9:11" ht="15" customHeight="1">
      <c r="I583" s="35"/>
      <c r="J583" s="35"/>
      <c r="K583" s="35"/>
    </row>
    <row r="584" spans="9:11" ht="15" customHeight="1">
      <c r="I584" s="35"/>
      <c r="J584" s="35"/>
      <c r="K584" s="35"/>
    </row>
    <row r="585" spans="9:11" ht="15" customHeight="1">
      <c r="I585" s="35"/>
      <c r="J585" s="35"/>
      <c r="K585" s="35"/>
    </row>
    <row r="586" spans="9:11" ht="15" customHeight="1">
      <c r="I586" s="35"/>
      <c r="J586" s="35"/>
      <c r="K586" s="35"/>
    </row>
    <row r="587" spans="9:11" ht="15" customHeight="1">
      <c r="I587" s="35"/>
      <c r="J587" s="35"/>
      <c r="K587" s="35"/>
    </row>
    <row r="588" spans="9:11" ht="15" customHeight="1">
      <c r="I588" s="35"/>
      <c r="J588" s="35"/>
      <c r="K588" s="35"/>
    </row>
    <row r="589" spans="9:11" ht="15" customHeight="1">
      <c r="I589" s="35"/>
      <c r="J589" s="35"/>
      <c r="K589" s="35"/>
    </row>
    <row r="590" spans="9:11" ht="15" customHeight="1">
      <c r="I590" s="35"/>
      <c r="J590" s="35"/>
      <c r="K590" s="35"/>
    </row>
    <row r="591" spans="9:11" ht="15" customHeight="1">
      <c r="I591" s="35"/>
      <c r="J591" s="35"/>
      <c r="K591" s="35"/>
    </row>
    <row r="592" spans="9:11" ht="15" customHeight="1">
      <c r="I592" s="35"/>
      <c r="J592" s="35"/>
      <c r="K592" s="35"/>
    </row>
    <row r="593" spans="9:11" ht="15" customHeight="1">
      <c r="I593" s="35"/>
      <c r="J593" s="35"/>
      <c r="K593" s="35"/>
    </row>
    <row r="594" spans="9:11" ht="15" customHeight="1">
      <c r="I594" s="35"/>
      <c r="J594" s="35"/>
      <c r="K594" s="35"/>
    </row>
    <row r="595" spans="9:11" ht="15" customHeight="1">
      <c r="I595" s="35"/>
      <c r="J595" s="35"/>
      <c r="K595" s="35"/>
    </row>
    <row r="596" spans="9:11" ht="15" customHeight="1">
      <c r="I596" s="35"/>
      <c r="J596" s="35"/>
      <c r="K596" s="35"/>
    </row>
    <row r="597" spans="9:11" ht="15" customHeight="1">
      <c r="I597" s="35"/>
      <c r="J597" s="35"/>
      <c r="K597" s="35"/>
    </row>
    <row r="598" spans="9:11" ht="15" customHeight="1">
      <c r="I598" s="35"/>
      <c r="J598" s="35"/>
      <c r="K598" s="35"/>
    </row>
    <row r="599" spans="9:11" ht="15" customHeight="1">
      <c r="I599" s="35"/>
      <c r="J599" s="35"/>
      <c r="K599" s="35"/>
    </row>
    <row r="600" spans="9:11" ht="15" customHeight="1">
      <c r="I600" s="35"/>
      <c r="J600" s="35"/>
      <c r="K600" s="35"/>
    </row>
    <row r="601" spans="9:11" ht="15" customHeight="1">
      <c r="I601" s="35"/>
      <c r="J601" s="35"/>
      <c r="K601" s="35"/>
    </row>
    <row r="602" spans="9:11" ht="15" customHeight="1">
      <c r="I602" s="35"/>
      <c r="J602" s="35"/>
      <c r="K602" s="35"/>
    </row>
    <row r="603" spans="9:11" ht="15" customHeight="1">
      <c r="I603" s="35"/>
      <c r="J603" s="35"/>
      <c r="K603" s="35"/>
    </row>
    <row r="604" spans="9:11" ht="15" customHeight="1">
      <c r="I604" s="35"/>
      <c r="J604" s="35"/>
      <c r="K604" s="35"/>
    </row>
    <row r="605" spans="9:11" ht="15" customHeight="1">
      <c r="I605" s="35"/>
      <c r="J605" s="35"/>
      <c r="K605" s="35"/>
    </row>
    <row r="606" spans="9:11" ht="15" customHeight="1">
      <c r="I606" s="35"/>
      <c r="J606" s="35"/>
      <c r="K606" s="35"/>
    </row>
    <row r="607" spans="9:11" ht="15" customHeight="1">
      <c r="I607" s="35"/>
      <c r="J607" s="35"/>
      <c r="K607" s="35"/>
    </row>
    <row r="608" spans="9:11" ht="15" customHeight="1">
      <c r="I608" s="35"/>
      <c r="J608" s="35"/>
      <c r="K608" s="35"/>
    </row>
    <row r="609" spans="9:11" ht="15" customHeight="1">
      <c r="I609" s="35"/>
      <c r="J609" s="35"/>
      <c r="K609" s="35"/>
    </row>
    <row r="610" spans="9:11" ht="15" customHeight="1">
      <c r="I610" s="35"/>
      <c r="J610" s="35"/>
      <c r="K610" s="35"/>
    </row>
    <row r="611" spans="9:11" ht="15" customHeight="1">
      <c r="I611" s="35"/>
      <c r="J611" s="35"/>
      <c r="K611" s="35"/>
    </row>
    <row r="612" spans="9:11" ht="15" customHeight="1">
      <c r="I612" s="35"/>
      <c r="J612" s="35"/>
      <c r="K612" s="35"/>
    </row>
    <row r="613" spans="9:11" ht="15" customHeight="1">
      <c r="I613" s="35"/>
      <c r="J613" s="35"/>
      <c r="K613" s="35"/>
    </row>
    <row r="614" spans="9:11" ht="15" customHeight="1">
      <c r="I614" s="35"/>
      <c r="J614" s="35"/>
      <c r="K614" s="35"/>
    </row>
    <row r="615" spans="9:11" ht="15" customHeight="1">
      <c r="I615" s="35"/>
      <c r="J615" s="35"/>
      <c r="K615" s="35"/>
    </row>
    <row r="616" spans="9:11" ht="15" customHeight="1">
      <c r="I616" s="35"/>
      <c r="J616" s="35"/>
      <c r="K616" s="35"/>
    </row>
    <row r="617" spans="9:11" ht="15" customHeight="1">
      <c r="I617" s="35"/>
      <c r="J617" s="35"/>
      <c r="K617" s="35"/>
    </row>
    <row r="618" spans="9:11" ht="15" customHeight="1">
      <c r="I618" s="35"/>
      <c r="J618" s="35"/>
      <c r="K618" s="35"/>
    </row>
    <row r="619" spans="9:11" ht="15" customHeight="1">
      <c r="I619" s="35"/>
      <c r="J619" s="35"/>
      <c r="K619" s="35"/>
    </row>
    <row r="620" spans="9:11" ht="15" customHeight="1">
      <c r="I620" s="35"/>
      <c r="J620" s="35"/>
      <c r="K620" s="35"/>
    </row>
    <row r="621" spans="9:11" ht="15" customHeight="1">
      <c r="I621" s="35"/>
      <c r="J621" s="35"/>
      <c r="K621" s="35"/>
    </row>
    <row r="622" spans="9:11" ht="15" customHeight="1">
      <c r="I622" s="35"/>
      <c r="J622" s="35"/>
      <c r="K622" s="35"/>
    </row>
    <row r="623" spans="9:11" ht="15" customHeight="1">
      <c r="I623" s="35"/>
      <c r="J623" s="35"/>
      <c r="K623" s="35"/>
    </row>
    <row r="624" spans="9:11" ht="15" customHeight="1">
      <c r="I624" s="35"/>
      <c r="J624" s="35"/>
      <c r="K624" s="35"/>
    </row>
    <row r="625" spans="9:11" ht="15" customHeight="1">
      <c r="I625" s="35"/>
      <c r="J625" s="35"/>
      <c r="K625" s="35"/>
    </row>
    <row r="626" spans="9:11" ht="15" customHeight="1">
      <c r="I626" s="35"/>
      <c r="J626" s="35"/>
      <c r="K626" s="35"/>
    </row>
    <row r="627" spans="9:11" ht="15" customHeight="1">
      <c r="I627" s="35"/>
      <c r="J627" s="35"/>
      <c r="K627" s="35"/>
    </row>
    <row r="628" spans="9:11" ht="15" customHeight="1">
      <c r="I628" s="35"/>
      <c r="J628" s="35"/>
      <c r="K628" s="35"/>
    </row>
    <row r="629" spans="9:11" ht="15" customHeight="1">
      <c r="I629" s="35"/>
      <c r="J629" s="35"/>
      <c r="K629" s="35"/>
    </row>
    <row r="630" spans="9:11" ht="15" customHeight="1">
      <c r="I630" s="35"/>
      <c r="J630" s="35"/>
      <c r="K630" s="35"/>
    </row>
    <row r="631" spans="9:11" ht="15" customHeight="1">
      <c r="I631" s="35"/>
      <c r="J631" s="35"/>
      <c r="K631" s="35"/>
    </row>
    <row r="632" spans="9:11" ht="15" customHeight="1">
      <c r="I632" s="35"/>
      <c r="J632" s="35"/>
      <c r="K632" s="35"/>
    </row>
    <row r="633" spans="9:11" ht="15" customHeight="1">
      <c r="I633" s="35"/>
      <c r="J633" s="35"/>
      <c r="K633" s="35"/>
    </row>
    <row r="634" spans="9:11" ht="15" customHeight="1">
      <c r="I634" s="35"/>
      <c r="J634" s="35"/>
      <c r="K634" s="35"/>
    </row>
    <row r="635" spans="9:11" ht="15" customHeight="1">
      <c r="I635" s="35"/>
      <c r="J635" s="35"/>
      <c r="K635" s="35"/>
    </row>
    <row r="636" spans="9:11" ht="15" customHeight="1">
      <c r="I636" s="35"/>
      <c r="J636" s="35"/>
      <c r="K636" s="35"/>
    </row>
    <row r="637" spans="9:11" ht="15" customHeight="1">
      <c r="I637" s="35"/>
      <c r="J637" s="35"/>
      <c r="K637" s="35"/>
    </row>
    <row r="638" spans="9:11" ht="15" customHeight="1">
      <c r="I638" s="35"/>
      <c r="J638" s="35"/>
      <c r="K638" s="35"/>
    </row>
    <row r="639" spans="9:11" ht="15" customHeight="1">
      <c r="I639" s="35"/>
      <c r="J639" s="35"/>
      <c r="K639" s="35"/>
    </row>
    <row r="640" spans="9:11" ht="15" customHeight="1">
      <c r="I640" s="35"/>
      <c r="J640" s="35"/>
      <c r="K640" s="35"/>
    </row>
    <row r="641" spans="9:11" ht="15" customHeight="1">
      <c r="I641" s="35"/>
      <c r="J641" s="35"/>
      <c r="K641" s="35"/>
    </row>
    <row r="642" spans="9:11" ht="15" customHeight="1">
      <c r="I642" s="35"/>
      <c r="J642" s="35"/>
      <c r="K642" s="35"/>
    </row>
    <row r="643" spans="9:11" ht="15" customHeight="1">
      <c r="I643" s="35"/>
      <c r="J643" s="35"/>
      <c r="K643" s="35"/>
    </row>
    <row r="644" spans="9:11" ht="15" customHeight="1">
      <c r="I644" s="35"/>
      <c r="J644" s="35"/>
      <c r="K644" s="35"/>
    </row>
    <row r="645" spans="9:11" ht="15" customHeight="1">
      <c r="I645" s="35"/>
      <c r="J645" s="35"/>
      <c r="K645" s="35"/>
    </row>
    <row r="646" spans="9:11" ht="15" customHeight="1">
      <c r="I646" s="35"/>
      <c r="J646" s="35"/>
      <c r="K646" s="35"/>
    </row>
    <row r="647" spans="9:11" ht="15" customHeight="1">
      <c r="I647" s="35"/>
      <c r="J647" s="35"/>
      <c r="K647" s="35"/>
    </row>
    <row r="648" spans="9:11" ht="15" customHeight="1">
      <c r="I648" s="35"/>
      <c r="J648" s="35"/>
      <c r="K648" s="35"/>
    </row>
    <row r="649" spans="9:11" ht="15" customHeight="1">
      <c r="I649" s="35"/>
      <c r="J649" s="35"/>
      <c r="K649" s="35"/>
    </row>
    <row r="650" spans="9:11" ht="15" customHeight="1">
      <c r="I650" s="35"/>
      <c r="J650" s="35"/>
      <c r="K650" s="35"/>
    </row>
    <row r="651" spans="9:11" ht="15" customHeight="1">
      <c r="I651" s="35"/>
      <c r="J651" s="35"/>
      <c r="K651" s="35"/>
    </row>
    <row r="652" spans="9:11" ht="15" customHeight="1">
      <c r="I652" s="35"/>
      <c r="J652" s="35"/>
      <c r="K652" s="35"/>
    </row>
    <row r="653" spans="9:11" ht="15" customHeight="1">
      <c r="I653" s="35"/>
      <c r="J653" s="35"/>
      <c r="K653" s="35"/>
    </row>
    <row r="654" spans="9:11" ht="15" customHeight="1">
      <c r="I654" s="35"/>
      <c r="J654" s="35"/>
      <c r="K654" s="35"/>
    </row>
    <row r="655" spans="9:11" ht="15" customHeight="1">
      <c r="I655" s="35"/>
      <c r="J655" s="35"/>
      <c r="K655" s="35"/>
    </row>
    <row r="656" spans="9:11" ht="15" customHeight="1">
      <c r="I656" s="35"/>
      <c r="J656" s="35"/>
      <c r="K656" s="35"/>
    </row>
    <row r="657" spans="9:11" ht="15" customHeight="1">
      <c r="I657" s="35"/>
      <c r="J657" s="35"/>
      <c r="K657" s="35"/>
    </row>
    <row r="658" spans="9:11" ht="15" customHeight="1">
      <c r="I658" s="35"/>
      <c r="J658" s="35"/>
      <c r="K658" s="35"/>
    </row>
    <row r="659" spans="9:11" ht="15" customHeight="1">
      <c r="I659" s="35"/>
      <c r="J659" s="35"/>
      <c r="K659" s="35"/>
    </row>
    <row r="660" spans="9:11" ht="15" customHeight="1">
      <c r="I660" s="35"/>
      <c r="J660" s="35"/>
      <c r="K660" s="35"/>
    </row>
    <row r="661" spans="9:11" ht="15" customHeight="1">
      <c r="I661" s="35"/>
      <c r="J661" s="35"/>
      <c r="K661" s="35"/>
    </row>
    <row r="662" spans="9:11" ht="15" customHeight="1">
      <c r="I662" s="35"/>
      <c r="J662" s="35"/>
      <c r="K662" s="35"/>
    </row>
    <row r="663" spans="9:11" ht="15" customHeight="1">
      <c r="I663" s="35"/>
      <c r="J663" s="35"/>
      <c r="K663" s="35"/>
    </row>
    <row r="664" spans="9:11" ht="15" customHeight="1">
      <c r="I664" s="35"/>
      <c r="J664" s="35"/>
      <c r="K664" s="35"/>
    </row>
    <row r="665" spans="9:11" ht="15" customHeight="1">
      <c r="I665" s="35"/>
      <c r="J665" s="35"/>
      <c r="K665" s="35"/>
    </row>
    <row r="666" spans="9:11" ht="15" customHeight="1">
      <c r="I666" s="35"/>
      <c r="J666" s="35"/>
      <c r="K666" s="35"/>
    </row>
    <row r="667" spans="9:11" ht="15" customHeight="1">
      <c r="I667" s="35"/>
      <c r="J667" s="35"/>
      <c r="K667" s="35"/>
    </row>
    <row r="668" spans="9:11" ht="15" customHeight="1">
      <c r="I668" s="35"/>
      <c r="J668" s="35"/>
      <c r="K668" s="35"/>
    </row>
    <row r="669" spans="9:11" ht="15" customHeight="1">
      <c r="I669" s="35"/>
      <c r="J669" s="35"/>
      <c r="K669" s="35"/>
    </row>
    <row r="670" spans="9:11" ht="15" customHeight="1">
      <c r="I670" s="35"/>
      <c r="J670" s="35"/>
      <c r="K670" s="35"/>
    </row>
    <row r="671" spans="9:11" ht="15" customHeight="1">
      <c r="I671" s="35"/>
      <c r="J671" s="35"/>
      <c r="K671" s="35"/>
    </row>
    <row r="672" spans="9:11" ht="15" customHeight="1">
      <c r="I672" s="35"/>
      <c r="J672" s="35"/>
      <c r="K672" s="35"/>
    </row>
    <row r="673" spans="9:11" ht="15" customHeight="1">
      <c r="I673" s="35"/>
      <c r="J673" s="35"/>
      <c r="K673" s="35"/>
    </row>
    <row r="674" spans="9:11" ht="15" customHeight="1">
      <c r="I674" s="35"/>
      <c r="J674" s="35"/>
      <c r="K674" s="35"/>
    </row>
    <row r="675" spans="9:11" ht="15" customHeight="1">
      <c r="I675" s="35"/>
      <c r="J675" s="35"/>
      <c r="K675" s="35"/>
    </row>
    <row r="676" spans="9:11" ht="15" customHeight="1">
      <c r="I676" s="35"/>
      <c r="J676" s="35"/>
      <c r="K676" s="35"/>
    </row>
    <row r="677" spans="9:11" ht="15" customHeight="1">
      <c r="I677" s="35"/>
      <c r="J677" s="35"/>
      <c r="K677" s="35"/>
    </row>
    <row r="678" spans="9:11" ht="15" customHeight="1">
      <c r="I678" s="35"/>
      <c r="J678" s="35"/>
      <c r="K678" s="35"/>
    </row>
    <row r="679" spans="9:11" ht="15" customHeight="1">
      <c r="I679" s="35"/>
      <c r="J679" s="35"/>
      <c r="K679" s="35"/>
    </row>
    <row r="680" spans="9:11" ht="15" customHeight="1">
      <c r="I680" s="35"/>
      <c r="J680" s="35"/>
      <c r="K680" s="35"/>
    </row>
    <row r="681" spans="9:11" ht="15" customHeight="1">
      <c r="I681" s="35"/>
      <c r="J681" s="35"/>
      <c r="K681" s="35"/>
    </row>
    <row r="682" spans="9:11" ht="15" customHeight="1">
      <c r="I682" s="35"/>
      <c r="J682" s="35"/>
      <c r="K682" s="35"/>
    </row>
    <row r="683" spans="9:11" ht="15" customHeight="1">
      <c r="I683" s="35"/>
      <c r="J683" s="35"/>
      <c r="K683" s="35"/>
    </row>
    <row r="684" spans="9:11" ht="15" customHeight="1">
      <c r="I684" s="35"/>
      <c r="J684" s="35"/>
      <c r="K684" s="35"/>
    </row>
    <row r="685" spans="9:11" ht="15" customHeight="1">
      <c r="I685" s="35"/>
      <c r="J685" s="35"/>
      <c r="K685" s="35"/>
    </row>
    <row r="686" spans="9:11" ht="15" customHeight="1">
      <c r="I686" s="35"/>
      <c r="J686" s="35"/>
      <c r="K686" s="35"/>
    </row>
    <row r="687" spans="9:11" ht="15" customHeight="1">
      <c r="I687" s="35"/>
      <c r="J687" s="35"/>
      <c r="K687" s="35"/>
    </row>
    <row r="688" spans="9:11" ht="15" customHeight="1">
      <c r="I688" s="35"/>
      <c r="J688" s="35"/>
      <c r="K688" s="35"/>
    </row>
    <row r="689" spans="9:11" ht="15" customHeight="1">
      <c r="I689" s="35"/>
      <c r="J689" s="35"/>
      <c r="K689" s="35"/>
    </row>
    <row r="690" spans="9:11" ht="15" customHeight="1">
      <c r="I690" s="35"/>
      <c r="J690" s="35"/>
      <c r="K690" s="35"/>
    </row>
    <row r="691" spans="9:11" ht="15" customHeight="1">
      <c r="I691" s="35"/>
      <c r="J691" s="35"/>
      <c r="K691" s="35"/>
    </row>
    <row r="692" spans="9:11" ht="15" customHeight="1">
      <c r="I692" s="35"/>
      <c r="J692" s="35"/>
      <c r="K692" s="35"/>
    </row>
    <row r="693" spans="9:11" ht="15" customHeight="1">
      <c r="I693" s="35"/>
      <c r="J693" s="35"/>
      <c r="K693" s="35"/>
    </row>
    <row r="694" spans="9:11" ht="15" customHeight="1">
      <c r="I694" s="35"/>
      <c r="J694" s="35"/>
      <c r="K694" s="35"/>
    </row>
    <row r="695" spans="9:11" ht="15" customHeight="1">
      <c r="I695" s="35"/>
      <c r="J695" s="35"/>
      <c r="K695" s="35"/>
    </row>
    <row r="696" spans="9:11" ht="15" customHeight="1">
      <c r="I696" s="35"/>
      <c r="J696" s="35"/>
      <c r="K696" s="35"/>
    </row>
    <row r="697" spans="9:11" ht="15" customHeight="1">
      <c r="I697" s="35"/>
      <c r="J697" s="35"/>
      <c r="K697" s="35"/>
    </row>
    <row r="698" spans="9:11" ht="15" customHeight="1">
      <c r="I698" s="35"/>
      <c r="J698" s="35"/>
      <c r="K698" s="35"/>
    </row>
    <row r="699" spans="9:11" ht="15" customHeight="1">
      <c r="I699" s="35"/>
      <c r="J699" s="35"/>
      <c r="K699" s="35"/>
    </row>
    <row r="700" spans="9:11" ht="15" customHeight="1">
      <c r="I700" s="35"/>
      <c r="J700" s="35"/>
      <c r="K700" s="35"/>
    </row>
    <row r="701" spans="9:11" ht="15" customHeight="1">
      <c r="I701" s="35"/>
      <c r="J701" s="35"/>
      <c r="K701" s="35"/>
    </row>
    <row r="702" spans="9:11" ht="15" customHeight="1">
      <c r="I702" s="35"/>
      <c r="J702" s="35"/>
      <c r="K702" s="35"/>
    </row>
    <row r="703" spans="9:11" ht="15" customHeight="1">
      <c r="I703" s="35"/>
      <c r="J703" s="35"/>
      <c r="K703" s="35"/>
    </row>
    <row r="704" spans="9:11" ht="15" customHeight="1">
      <c r="I704" s="35"/>
      <c r="J704" s="35"/>
      <c r="K704" s="35"/>
    </row>
    <row r="705" spans="9:11" ht="15" customHeight="1">
      <c r="I705" s="35"/>
      <c r="J705" s="35"/>
      <c r="K705" s="35"/>
    </row>
    <row r="706" spans="9:11" ht="15" customHeight="1">
      <c r="I706" s="35"/>
      <c r="J706" s="35"/>
      <c r="K706" s="35"/>
    </row>
    <row r="707" spans="9:11" ht="15" customHeight="1">
      <c r="I707" s="35"/>
      <c r="J707" s="35"/>
      <c r="K707" s="35"/>
    </row>
    <row r="708" spans="9:11" ht="15" customHeight="1">
      <c r="I708" s="35"/>
      <c r="J708" s="35"/>
      <c r="K708" s="35"/>
    </row>
    <row r="709" spans="9:11" ht="15" customHeight="1">
      <c r="I709" s="35"/>
      <c r="J709" s="35"/>
      <c r="K709" s="35"/>
    </row>
    <row r="710" spans="9:11" ht="15" customHeight="1">
      <c r="I710" s="35"/>
      <c r="J710" s="35"/>
      <c r="K710" s="35"/>
    </row>
    <row r="711" spans="9:11" ht="15" customHeight="1">
      <c r="I711" s="35"/>
      <c r="J711" s="35"/>
      <c r="K711" s="35"/>
    </row>
    <row r="712" spans="9:11" ht="15" customHeight="1">
      <c r="I712" s="35"/>
      <c r="J712" s="35"/>
      <c r="K712" s="35"/>
    </row>
    <row r="713" spans="9:11" ht="15" customHeight="1">
      <c r="I713" s="35"/>
      <c r="J713" s="35"/>
      <c r="K713" s="35"/>
    </row>
    <row r="714" spans="9:11" ht="15" customHeight="1">
      <c r="I714" s="35"/>
      <c r="J714" s="35"/>
      <c r="K714" s="35"/>
    </row>
    <row r="715" spans="9:11" ht="15" customHeight="1">
      <c r="I715" s="35"/>
      <c r="J715" s="35"/>
      <c r="K715" s="35"/>
    </row>
    <row r="716" spans="9:11" ht="15" customHeight="1">
      <c r="I716" s="35"/>
      <c r="J716" s="35"/>
      <c r="K716" s="35"/>
    </row>
    <row r="717" spans="9:11" ht="15" customHeight="1">
      <c r="I717" s="35"/>
      <c r="J717" s="35"/>
      <c r="K717" s="35"/>
    </row>
    <row r="718" spans="9:11" ht="15" customHeight="1">
      <c r="I718" s="35"/>
      <c r="J718" s="35"/>
      <c r="K718" s="35"/>
    </row>
    <row r="719" spans="9:11" ht="15" customHeight="1">
      <c r="I719" s="35"/>
      <c r="J719" s="35"/>
      <c r="K719" s="35"/>
    </row>
    <row r="720" spans="9:11" ht="15" customHeight="1">
      <c r="I720" s="35"/>
      <c r="J720" s="35"/>
      <c r="K720" s="35"/>
    </row>
    <row r="721" spans="9:11" ht="15" customHeight="1">
      <c r="I721" s="35"/>
      <c r="J721" s="35"/>
      <c r="K721" s="35"/>
    </row>
    <row r="722" spans="9:11" ht="15" customHeight="1">
      <c r="I722" s="35"/>
      <c r="J722" s="35"/>
      <c r="K722" s="35"/>
    </row>
    <row r="723" spans="9:11" ht="15" customHeight="1">
      <c r="I723" s="35"/>
      <c r="J723" s="35"/>
      <c r="K723" s="35"/>
    </row>
    <row r="724" spans="9:11" ht="15" customHeight="1">
      <c r="I724" s="35"/>
      <c r="J724" s="35"/>
      <c r="K724" s="35"/>
    </row>
    <row r="725" spans="9:11" ht="15" customHeight="1">
      <c r="I725" s="35"/>
      <c r="J725" s="35"/>
      <c r="K725" s="35"/>
    </row>
    <row r="726" spans="9:11" ht="15" customHeight="1">
      <c r="I726" s="35"/>
      <c r="J726" s="35"/>
      <c r="K726" s="35"/>
    </row>
    <row r="727" spans="9:11" ht="15" customHeight="1">
      <c r="I727" s="35"/>
      <c r="J727" s="35"/>
      <c r="K727" s="35"/>
    </row>
    <row r="728" spans="9:11" ht="15" customHeight="1">
      <c r="I728" s="35"/>
      <c r="J728" s="35"/>
      <c r="K728" s="35"/>
    </row>
    <row r="729" spans="9:11" ht="15" customHeight="1">
      <c r="I729" s="35"/>
      <c r="J729" s="35"/>
      <c r="K729" s="35"/>
    </row>
    <row r="730" spans="9:11" ht="15" customHeight="1">
      <c r="I730" s="35"/>
      <c r="J730" s="35"/>
      <c r="K730" s="35"/>
    </row>
    <row r="731" spans="9:11" ht="15" customHeight="1">
      <c r="I731" s="35"/>
      <c r="J731" s="35"/>
      <c r="K731" s="35"/>
    </row>
    <row r="732" spans="9:11" ht="15" customHeight="1">
      <c r="I732" s="35"/>
      <c r="J732" s="35"/>
      <c r="K732" s="35"/>
    </row>
    <row r="733" spans="9:11" ht="15" customHeight="1">
      <c r="I733" s="35"/>
      <c r="J733" s="35"/>
      <c r="K733" s="35"/>
    </row>
    <row r="734" spans="9:11" ht="15" customHeight="1">
      <c r="I734" s="35"/>
      <c r="J734" s="35"/>
      <c r="K734" s="35"/>
    </row>
    <row r="735" spans="9:11" ht="15" customHeight="1">
      <c r="I735" s="35"/>
      <c r="J735" s="35"/>
      <c r="K735" s="35"/>
    </row>
    <row r="736" spans="9:11" ht="15" customHeight="1">
      <c r="I736" s="35"/>
      <c r="J736" s="35"/>
      <c r="K736" s="35"/>
    </row>
    <row r="737" spans="9:11" ht="15" customHeight="1">
      <c r="I737" s="35"/>
      <c r="J737" s="35"/>
      <c r="K737" s="35"/>
    </row>
    <row r="738" spans="9:11" ht="15" customHeight="1">
      <c r="I738" s="35"/>
      <c r="J738" s="35"/>
      <c r="K738" s="35"/>
    </row>
    <row r="739" spans="9:11" ht="15" customHeight="1">
      <c r="I739" s="35"/>
      <c r="J739" s="35"/>
      <c r="K739" s="35"/>
    </row>
    <row r="740" spans="9:11" ht="15" customHeight="1">
      <c r="I740" s="35"/>
      <c r="J740" s="35"/>
      <c r="K740" s="35"/>
    </row>
    <row r="741" spans="9:11" ht="15" customHeight="1">
      <c r="I741" s="35"/>
      <c r="J741" s="35"/>
      <c r="K741" s="35"/>
    </row>
    <row r="742" spans="9:11" ht="15" customHeight="1">
      <c r="I742" s="35"/>
      <c r="J742" s="35"/>
      <c r="K742" s="35"/>
    </row>
    <row r="743" spans="9:11" ht="15" customHeight="1">
      <c r="I743" s="35"/>
      <c r="J743" s="35"/>
      <c r="K743" s="35"/>
    </row>
    <row r="744" spans="9:11" ht="15" customHeight="1">
      <c r="I744" s="35"/>
      <c r="J744" s="35"/>
      <c r="K744" s="35"/>
    </row>
    <row r="745" spans="9:11" ht="15" customHeight="1">
      <c r="I745" s="35"/>
      <c r="J745" s="35"/>
      <c r="K745" s="35"/>
    </row>
    <row r="746" spans="9:11" ht="15" customHeight="1">
      <c r="I746" s="35"/>
      <c r="J746" s="35"/>
      <c r="K746" s="35"/>
    </row>
    <row r="747" spans="9:11" ht="15" customHeight="1">
      <c r="I747" s="35"/>
      <c r="J747" s="35"/>
      <c r="K747" s="35"/>
    </row>
    <row r="748" spans="9:11" ht="15" customHeight="1">
      <c r="I748" s="35"/>
      <c r="J748" s="35"/>
      <c r="K748" s="35"/>
    </row>
    <row r="749" spans="9:11" ht="15" customHeight="1">
      <c r="I749" s="35"/>
      <c r="J749" s="35"/>
      <c r="K749" s="35"/>
    </row>
    <row r="750" spans="9:11" ht="15" customHeight="1">
      <c r="I750" s="35"/>
      <c r="J750" s="35"/>
      <c r="K750" s="35"/>
    </row>
    <row r="751" spans="9:11" ht="15" customHeight="1">
      <c r="I751" s="35"/>
      <c r="J751" s="35"/>
      <c r="K751" s="35"/>
    </row>
    <row r="752" spans="9:11" ht="15" customHeight="1">
      <c r="I752" s="35"/>
      <c r="J752" s="35"/>
      <c r="K752" s="35"/>
    </row>
    <row r="753" spans="9:11" ht="15" customHeight="1">
      <c r="I753" s="35"/>
      <c r="J753" s="35"/>
      <c r="K753" s="35"/>
    </row>
    <row r="754" spans="9:11" ht="15" customHeight="1">
      <c r="I754" s="35"/>
      <c r="J754" s="35"/>
      <c r="K754" s="35"/>
    </row>
    <row r="755" spans="9:11" ht="15" customHeight="1">
      <c r="I755" s="35"/>
      <c r="J755" s="35"/>
      <c r="K755" s="35"/>
    </row>
    <row r="756" spans="9:11" ht="15" customHeight="1">
      <c r="I756" s="35"/>
      <c r="J756" s="35"/>
      <c r="K756" s="35"/>
    </row>
    <row r="757" spans="9:11" ht="15" customHeight="1">
      <c r="I757" s="35"/>
      <c r="J757" s="35"/>
      <c r="K757" s="35"/>
    </row>
    <row r="758" spans="9:11" ht="15" customHeight="1">
      <c r="I758" s="35"/>
      <c r="J758" s="35"/>
      <c r="K758" s="35"/>
    </row>
    <row r="759" spans="9:11" ht="15" customHeight="1">
      <c r="I759" s="35"/>
      <c r="J759" s="35"/>
      <c r="K759" s="35"/>
    </row>
    <row r="760" spans="9:11" ht="15" customHeight="1">
      <c r="I760" s="35"/>
      <c r="J760" s="35"/>
      <c r="K760" s="35"/>
    </row>
    <row r="761" spans="9:11" ht="15" customHeight="1">
      <c r="I761" s="35"/>
      <c r="J761" s="35"/>
      <c r="K761" s="35"/>
    </row>
    <row r="762" spans="9:11" ht="15" customHeight="1">
      <c r="I762" s="35"/>
      <c r="J762" s="35"/>
      <c r="K762" s="35"/>
    </row>
    <row r="763" spans="9:11" ht="15" customHeight="1">
      <c r="I763" s="35"/>
      <c r="J763" s="35"/>
      <c r="K763" s="35"/>
    </row>
    <row r="764" spans="9:11" ht="15" customHeight="1">
      <c r="I764" s="35"/>
      <c r="J764" s="35"/>
      <c r="K764" s="35"/>
    </row>
    <row r="765" spans="9:11" ht="15" customHeight="1">
      <c r="I765" s="35"/>
      <c r="J765" s="35"/>
      <c r="K765" s="35"/>
    </row>
    <row r="766" spans="9:11" ht="15" customHeight="1">
      <c r="I766" s="35"/>
      <c r="J766" s="35"/>
      <c r="K766" s="35"/>
    </row>
    <row r="767" spans="9:11" ht="15" customHeight="1">
      <c r="I767" s="35"/>
      <c r="J767" s="35"/>
      <c r="K767" s="35"/>
    </row>
    <row r="768" spans="9:11" ht="15" customHeight="1">
      <c r="I768" s="35"/>
      <c r="J768" s="35"/>
      <c r="K768" s="35"/>
    </row>
    <row r="769" spans="9:11" ht="15" customHeight="1">
      <c r="I769" s="35"/>
      <c r="J769" s="35"/>
      <c r="K769" s="35"/>
    </row>
    <row r="770" spans="9:11" ht="15" customHeight="1">
      <c r="I770" s="35"/>
      <c r="J770" s="35"/>
      <c r="K770" s="35"/>
    </row>
    <row r="771" spans="9:11" ht="15" customHeight="1">
      <c r="I771" s="35"/>
      <c r="J771" s="35"/>
      <c r="K771" s="35"/>
    </row>
    <row r="772" spans="9:11" ht="15" customHeight="1">
      <c r="I772" s="35"/>
      <c r="J772" s="35"/>
      <c r="K772" s="35"/>
    </row>
    <row r="773" spans="9:11" ht="15" customHeight="1">
      <c r="I773" s="35"/>
      <c r="J773" s="35"/>
      <c r="K773" s="35"/>
    </row>
    <row r="774" spans="9:11" ht="15" customHeight="1">
      <c r="I774" s="35"/>
      <c r="J774" s="35"/>
      <c r="K774" s="35"/>
    </row>
    <row r="775" spans="9:11" ht="15" customHeight="1">
      <c r="I775" s="35"/>
      <c r="J775" s="35"/>
      <c r="K775" s="35"/>
    </row>
    <row r="776" spans="9:11" ht="15" customHeight="1">
      <c r="I776" s="35"/>
      <c r="J776" s="35"/>
      <c r="K776" s="35"/>
    </row>
    <row r="777" spans="9:11" ht="15" customHeight="1">
      <c r="I777" s="35"/>
      <c r="J777" s="35"/>
      <c r="K777" s="35"/>
    </row>
    <row r="778" spans="9:11" ht="15" customHeight="1">
      <c r="I778" s="35"/>
      <c r="J778" s="35"/>
      <c r="K778" s="35"/>
    </row>
    <row r="779" spans="9:11" ht="15" customHeight="1">
      <c r="I779" s="35"/>
      <c r="J779" s="35"/>
      <c r="K779" s="35"/>
    </row>
    <row r="780" spans="9:11" ht="15" customHeight="1">
      <c r="I780" s="35"/>
      <c r="J780" s="35"/>
      <c r="K780" s="35"/>
    </row>
    <row r="781" spans="9:11" ht="15" customHeight="1">
      <c r="I781" s="35"/>
      <c r="J781" s="35"/>
      <c r="K781" s="35"/>
    </row>
    <row r="782" spans="9:11" ht="15" customHeight="1">
      <c r="I782" s="35"/>
      <c r="J782" s="35"/>
      <c r="K782" s="35"/>
    </row>
    <row r="783" spans="9:11" ht="15" customHeight="1">
      <c r="I783" s="35"/>
      <c r="J783" s="35"/>
      <c r="K783" s="35"/>
    </row>
    <row r="784" spans="9:11" ht="15" customHeight="1">
      <c r="I784" s="35"/>
      <c r="J784" s="35"/>
      <c r="K784" s="35"/>
    </row>
    <row r="785" spans="9:11" ht="15" customHeight="1">
      <c r="I785" s="35"/>
      <c r="J785" s="35"/>
      <c r="K785" s="35"/>
    </row>
    <row r="786" spans="9:11" ht="15" customHeight="1">
      <c r="I786" s="35"/>
      <c r="J786" s="35"/>
      <c r="K786" s="35"/>
    </row>
    <row r="787" spans="9:11" ht="15" customHeight="1">
      <c r="I787" s="35"/>
      <c r="J787" s="35"/>
      <c r="K787" s="35"/>
    </row>
    <row r="788" spans="9:11" ht="15" customHeight="1">
      <c r="I788" s="35"/>
      <c r="J788" s="35"/>
      <c r="K788" s="35"/>
    </row>
    <row r="789" spans="9:11" ht="15" customHeight="1">
      <c r="I789" s="35"/>
      <c r="J789" s="35"/>
      <c r="K789" s="35"/>
    </row>
    <row r="790" spans="9:11" ht="15" customHeight="1">
      <c r="I790" s="35"/>
      <c r="J790" s="35"/>
      <c r="K790" s="35"/>
    </row>
    <row r="791" spans="9:11" ht="15" customHeight="1">
      <c r="I791" s="35"/>
      <c r="J791" s="35"/>
      <c r="K791" s="35"/>
    </row>
    <row r="792" spans="9:11" ht="15" customHeight="1">
      <c r="I792" s="35"/>
      <c r="J792" s="35"/>
      <c r="K792" s="35"/>
    </row>
    <row r="793" spans="9:11" ht="15" customHeight="1">
      <c r="I793" s="35"/>
      <c r="J793" s="35"/>
      <c r="K793" s="35"/>
    </row>
    <row r="794" spans="9:11" ht="15" customHeight="1">
      <c r="I794" s="35"/>
      <c r="J794" s="35"/>
      <c r="K794" s="35"/>
    </row>
    <row r="795" spans="9:11" ht="15" customHeight="1">
      <c r="I795" s="35"/>
      <c r="J795" s="35"/>
      <c r="K795" s="35"/>
    </row>
    <row r="796" spans="9:11" ht="15" customHeight="1">
      <c r="I796" s="35"/>
      <c r="J796" s="35"/>
      <c r="K796" s="35"/>
    </row>
    <row r="797" spans="9:11" ht="15" customHeight="1">
      <c r="I797" s="35"/>
      <c r="J797" s="35"/>
      <c r="K797" s="35"/>
    </row>
    <row r="798" spans="9:11" ht="15" customHeight="1">
      <c r="I798" s="35"/>
      <c r="J798" s="35"/>
      <c r="K798" s="35"/>
    </row>
    <row r="799" spans="9:11" ht="15" customHeight="1">
      <c r="I799" s="35"/>
      <c r="J799" s="35"/>
      <c r="K799" s="35"/>
    </row>
    <row r="800" spans="9:11" ht="15" customHeight="1">
      <c r="I800" s="35"/>
      <c r="J800" s="35"/>
      <c r="K800" s="35"/>
    </row>
    <row r="801" spans="9:11" ht="15" customHeight="1">
      <c r="I801" s="35"/>
      <c r="J801" s="35"/>
      <c r="K801" s="35"/>
    </row>
    <row r="802" spans="9:11" ht="15" customHeight="1">
      <c r="I802" s="35"/>
      <c r="J802" s="35"/>
      <c r="K802" s="35"/>
    </row>
    <row r="803" spans="9:11" ht="15" customHeight="1">
      <c r="I803" s="35"/>
      <c r="J803" s="35"/>
      <c r="K803" s="35"/>
    </row>
    <row r="804" spans="9:11" ht="15" customHeight="1">
      <c r="I804" s="35"/>
      <c r="J804" s="35"/>
      <c r="K804" s="35"/>
    </row>
    <row r="805" spans="9:11" ht="15" customHeight="1">
      <c r="I805" s="35"/>
      <c r="J805" s="35"/>
      <c r="K805" s="35"/>
    </row>
    <row r="806" spans="9:11" ht="15" customHeight="1">
      <c r="I806" s="35"/>
      <c r="J806" s="35"/>
      <c r="K806" s="35"/>
    </row>
    <row r="807" spans="9:11" ht="15" customHeight="1">
      <c r="I807" s="35"/>
      <c r="J807" s="35"/>
      <c r="K807" s="35"/>
    </row>
    <row r="808" spans="9:11" ht="15" customHeight="1">
      <c r="I808" s="35"/>
      <c r="J808" s="35"/>
      <c r="K808" s="35"/>
    </row>
    <row r="809" spans="9:11" ht="15" customHeight="1">
      <c r="I809" s="35"/>
      <c r="J809" s="35"/>
      <c r="K809" s="35"/>
    </row>
    <row r="810" spans="9:11" ht="15" customHeight="1">
      <c r="I810" s="35"/>
      <c r="J810" s="35"/>
      <c r="K810" s="35"/>
    </row>
    <row r="811" spans="9:11" ht="15" customHeight="1">
      <c r="I811" s="35"/>
      <c r="J811" s="35"/>
      <c r="K811" s="35"/>
    </row>
    <row r="812" spans="9:11" ht="15" customHeight="1">
      <c r="I812" s="35"/>
      <c r="J812" s="35"/>
      <c r="K812" s="35"/>
    </row>
    <row r="813" spans="9:11" ht="15" customHeight="1">
      <c r="I813" s="35"/>
      <c r="J813" s="35"/>
      <c r="K813" s="35"/>
    </row>
    <row r="814" spans="9:11" ht="15" customHeight="1">
      <c r="I814" s="35"/>
      <c r="J814" s="35"/>
      <c r="K814" s="35"/>
    </row>
    <row r="815" spans="9:11" ht="15" customHeight="1">
      <c r="I815" s="35"/>
      <c r="J815" s="35"/>
      <c r="K815" s="35"/>
    </row>
    <row r="816" spans="9:11" ht="15" customHeight="1">
      <c r="I816" s="35"/>
      <c r="J816" s="35"/>
      <c r="K816" s="35"/>
    </row>
    <row r="817" spans="9:11" ht="15" customHeight="1">
      <c r="I817" s="35"/>
      <c r="J817" s="35"/>
      <c r="K817" s="35"/>
    </row>
    <row r="818" spans="9:11" ht="15" customHeight="1">
      <c r="I818" s="35"/>
      <c r="J818" s="35"/>
      <c r="K818" s="35"/>
    </row>
    <row r="819" spans="9:11" ht="15" customHeight="1">
      <c r="I819" s="35"/>
      <c r="J819" s="35"/>
      <c r="K819" s="35"/>
    </row>
    <row r="820" spans="9:11" ht="15" customHeight="1">
      <c r="I820" s="35"/>
      <c r="J820" s="35"/>
      <c r="K820" s="35"/>
    </row>
    <row r="821" spans="9:11" ht="15" customHeight="1">
      <c r="I821" s="35"/>
      <c r="J821" s="35"/>
      <c r="K821" s="35"/>
    </row>
    <row r="822" spans="9:11" ht="15" customHeight="1">
      <c r="I822" s="35"/>
      <c r="J822" s="35"/>
      <c r="K822" s="35"/>
    </row>
    <row r="823" spans="9:11" ht="15" customHeight="1">
      <c r="I823" s="35"/>
      <c r="J823" s="35"/>
      <c r="K823" s="35"/>
    </row>
    <row r="824" spans="9:11" ht="15" customHeight="1">
      <c r="I824" s="35"/>
      <c r="J824" s="35"/>
      <c r="K824" s="35"/>
    </row>
    <row r="825" spans="9:11" ht="15" customHeight="1">
      <c r="I825" s="35"/>
      <c r="J825" s="35"/>
      <c r="K825" s="35"/>
    </row>
    <row r="826" spans="9:11" ht="15" customHeight="1">
      <c r="I826" s="35"/>
      <c r="J826" s="35"/>
      <c r="K826" s="35"/>
    </row>
    <row r="827" spans="9:11" ht="15" customHeight="1">
      <c r="I827" s="35"/>
      <c r="J827" s="35"/>
      <c r="K827" s="35"/>
    </row>
    <row r="828" spans="9:11" ht="15" customHeight="1">
      <c r="I828" s="35"/>
      <c r="J828" s="35"/>
      <c r="K828" s="35"/>
    </row>
    <row r="829" spans="9:11" ht="15" customHeight="1">
      <c r="I829" s="35"/>
      <c r="J829" s="35"/>
      <c r="K829" s="35"/>
    </row>
    <row r="830" spans="9:11" ht="15" customHeight="1">
      <c r="I830" s="35"/>
      <c r="J830" s="35"/>
      <c r="K830" s="35"/>
    </row>
    <row r="831" spans="9:11" ht="15" customHeight="1">
      <c r="I831" s="35"/>
      <c r="J831" s="35"/>
      <c r="K831" s="35"/>
    </row>
    <row r="832" spans="9:11" ht="15" customHeight="1">
      <c r="I832" s="35"/>
      <c r="J832" s="35"/>
      <c r="K832" s="35"/>
    </row>
    <row r="833" spans="9:11" ht="15" customHeight="1">
      <c r="I833" s="35"/>
      <c r="J833" s="35"/>
      <c r="K833" s="35"/>
    </row>
    <row r="834" spans="9:11" ht="15" customHeight="1">
      <c r="I834" s="35"/>
      <c r="J834" s="35"/>
      <c r="K834" s="35"/>
    </row>
    <row r="835" spans="9:11" ht="15" customHeight="1">
      <c r="I835" s="35"/>
      <c r="J835" s="35"/>
      <c r="K835" s="35"/>
    </row>
    <row r="836" spans="9:11" ht="15" customHeight="1">
      <c r="I836" s="35"/>
      <c r="J836" s="35"/>
      <c r="K836" s="35"/>
    </row>
    <row r="837" spans="9:11" ht="15" customHeight="1">
      <c r="I837" s="35"/>
      <c r="J837" s="35"/>
      <c r="K837" s="35"/>
    </row>
    <row r="838" spans="9:11" ht="15" customHeight="1">
      <c r="I838" s="35"/>
      <c r="J838" s="35"/>
      <c r="K838" s="35"/>
    </row>
    <row r="839" spans="9:11" ht="15" customHeight="1">
      <c r="I839" s="35"/>
      <c r="J839" s="35"/>
      <c r="K839" s="35"/>
    </row>
    <row r="840" spans="9:11" ht="15" customHeight="1">
      <c r="I840" s="35"/>
      <c r="J840" s="35"/>
      <c r="K840" s="35"/>
    </row>
    <row r="841" spans="9:11" ht="15" customHeight="1">
      <c r="I841" s="35"/>
      <c r="J841" s="35"/>
      <c r="K841" s="35"/>
    </row>
    <row r="842" spans="9:11" ht="15" customHeight="1">
      <c r="I842" s="35"/>
      <c r="J842" s="35"/>
      <c r="K842" s="35"/>
    </row>
    <row r="843" spans="9:11" ht="15" customHeight="1">
      <c r="I843" s="35"/>
      <c r="J843" s="35"/>
      <c r="K843" s="35"/>
    </row>
    <row r="844" spans="9:11" ht="15" customHeight="1">
      <c r="I844" s="35"/>
      <c r="J844" s="35"/>
      <c r="K844" s="35"/>
    </row>
    <row r="845" spans="9:11" ht="15" customHeight="1">
      <c r="I845" s="35"/>
      <c r="J845" s="35"/>
      <c r="K845" s="35"/>
    </row>
    <row r="846" spans="9:11" ht="15" customHeight="1">
      <c r="I846" s="35"/>
      <c r="J846" s="35"/>
      <c r="K846" s="35"/>
    </row>
    <row r="847" spans="9:11" ht="15" customHeight="1">
      <c r="I847" s="35"/>
      <c r="J847" s="35"/>
      <c r="K847" s="35"/>
    </row>
    <row r="848" spans="9:11" ht="15" customHeight="1">
      <c r="I848" s="35"/>
      <c r="J848" s="35"/>
      <c r="K848" s="35"/>
    </row>
    <row r="849" spans="9:11" ht="15" customHeight="1">
      <c r="I849" s="35"/>
      <c r="J849" s="35"/>
      <c r="K849" s="35"/>
    </row>
    <row r="850" spans="9:11" ht="15" customHeight="1">
      <c r="I850" s="35"/>
      <c r="J850" s="35"/>
      <c r="K850" s="35"/>
    </row>
    <row r="851" spans="9:11" ht="15" customHeight="1">
      <c r="I851" s="35"/>
      <c r="J851" s="35"/>
      <c r="K851" s="35"/>
    </row>
    <row r="852" spans="9:11" ht="15" customHeight="1">
      <c r="I852" s="35"/>
      <c r="J852" s="35"/>
      <c r="K852" s="35"/>
    </row>
    <row r="853" spans="9:11" ht="15" customHeight="1">
      <c r="I853" s="35"/>
      <c r="J853" s="35"/>
      <c r="K853" s="35"/>
    </row>
    <row r="854" spans="9:11" ht="15" customHeight="1">
      <c r="I854" s="35"/>
      <c r="J854" s="35"/>
      <c r="K854" s="35"/>
    </row>
    <row r="855" spans="9:11" ht="15" customHeight="1">
      <c r="I855" s="35"/>
      <c r="J855" s="35"/>
      <c r="K855" s="35"/>
    </row>
    <row r="856" spans="9:11" ht="15" customHeight="1">
      <c r="I856" s="35"/>
      <c r="J856" s="35"/>
      <c r="K856" s="35"/>
    </row>
    <row r="857" spans="9:11" ht="15" customHeight="1">
      <c r="I857" s="35"/>
      <c r="J857" s="35"/>
      <c r="K857" s="35"/>
    </row>
    <row r="858" spans="9:11" ht="15" customHeight="1">
      <c r="I858" s="35"/>
      <c r="J858" s="35"/>
      <c r="K858" s="35"/>
    </row>
    <row r="859" spans="9:11" ht="15" customHeight="1">
      <c r="I859" s="35"/>
      <c r="J859" s="35"/>
      <c r="K859" s="35"/>
    </row>
    <row r="860" spans="9:11" ht="15" customHeight="1">
      <c r="I860" s="35"/>
      <c r="J860" s="35"/>
      <c r="K860" s="35"/>
    </row>
    <row r="861" spans="9:11" ht="15" customHeight="1">
      <c r="I861" s="35"/>
      <c r="J861" s="35"/>
      <c r="K861" s="35"/>
    </row>
    <row r="862" spans="9:11" ht="15" customHeight="1">
      <c r="I862" s="35"/>
      <c r="J862" s="35"/>
      <c r="K862" s="35"/>
    </row>
    <row r="863" spans="9:11" ht="15" customHeight="1">
      <c r="I863" s="35"/>
      <c r="J863" s="35"/>
      <c r="K863" s="35"/>
    </row>
    <row r="864" spans="9:11" ht="15" customHeight="1">
      <c r="I864" s="35"/>
      <c r="J864" s="35"/>
      <c r="K864" s="35"/>
    </row>
    <row r="865" spans="9:11" ht="15" customHeight="1">
      <c r="I865" s="35"/>
      <c r="J865" s="35"/>
      <c r="K865" s="35"/>
    </row>
    <row r="866" spans="9:11" ht="15" customHeight="1">
      <c r="I866" s="35"/>
      <c r="J866" s="35"/>
      <c r="K866" s="35"/>
    </row>
    <row r="867" spans="9:11" ht="15" customHeight="1">
      <c r="I867" s="35"/>
      <c r="J867" s="35"/>
      <c r="K867" s="35"/>
    </row>
    <row r="868" spans="9:11" ht="15" customHeight="1">
      <c r="I868" s="35"/>
      <c r="J868" s="35"/>
      <c r="K868" s="35"/>
    </row>
    <row r="869" spans="9:11" ht="15" customHeight="1">
      <c r="I869" s="35"/>
      <c r="J869" s="35"/>
      <c r="K869" s="35"/>
    </row>
    <row r="870" spans="9:11" ht="15" customHeight="1">
      <c r="I870" s="35"/>
      <c r="J870" s="35"/>
      <c r="K870" s="35"/>
    </row>
    <row r="871" spans="9:11" ht="15" customHeight="1">
      <c r="I871" s="35"/>
      <c r="J871" s="35"/>
      <c r="K871" s="35"/>
    </row>
    <row r="872" spans="9:11" ht="15" customHeight="1">
      <c r="I872" s="35"/>
      <c r="J872" s="35"/>
      <c r="K872" s="35"/>
    </row>
    <row r="873" spans="9:11" ht="15" customHeight="1">
      <c r="I873" s="35"/>
      <c r="J873" s="35"/>
      <c r="K873" s="35"/>
    </row>
    <row r="874" spans="9:11" ht="15" customHeight="1">
      <c r="I874" s="35"/>
      <c r="J874" s="35"/>
      <c r="K874" s="35"/>
    </row>
    <row r="875" spans="9:11" ht="15" customHeight="1">
      <c r="I875" s="35"/>
      <c r="J875" s="35"/>
      <c r="K875" s="35"/>
    </row>
    <row r="876" spans="9:11" ht="15" customHeight="1">
      <c r="I876" s="35"/>
      <c r="J876" s="35"/>
      <c r="K876" s="35"/>
    </row>
    <row r="877" spans="9:11" ht="15" customHeight="1">
      <c r="I877" s="35"/>
      <c r="J877" s="35"/>
      <c r="K877" s="35"/>
    </row>
    <row r="878" spans="9:11" ht="15" customHeight="1">
      <c r="I878" s="35"/>
      <c r="J878" s="35"/>
      <c r="K878" s="35"/>
    </row>
    <row r="879" spans="9:11" ht="15" customHeight="1">
      <c r="I879" s="35"/>
      <c r="J879" s="35"/>
      <c r="K879" s="35"/>
    </row>
    <row r="880" spans="9:11" ht="15" customHeight="1">
      <c r="I880" s="35"/>
      <c r="J880" s="35"/>
      <c r="K880" s="35"/>
    </row>
    <row r="881" spans="9:11" ht="15" customHeight="1">
      <c r="I881" s="35"/>
      <c r="J881" s="35"/>
      <c r="K881" s="35"/>
    </row>
    <row r="882" spans="9:11" ht="15" customHeight="1">
      <c r="I882" s="35"/>
      <c r="J882" s="35"/>
      <c r="K882" s="35"/>
    </row>
    <row r="883" spans="9:11" ht="15" customHeight="1">
      <c r="I883" s="35"/>
      <c r="J883" s="35"/>
      <c r="K883" s="35"/>
    </row>
    <row r="884" spans="9:11" ht="15" customHeight="1">
      <c r="I884" s="35"/>
      <c r="J884" s="35"/>
      <c r="K884" s="35"/>
    </row>
    <row r="885" spans="9:11" ht="15" customHeight="1">
      <c r="I885" s="35"/>
      <c r="J885" s="35"/>
      <c r="K885" s="35"/>
    </row>
    <row r="886" spans="9:11" ht="15" customHeight="1">
      <c r="I886" s="35"/>
      <c r="J886" s="35"/>
      <c r="K886" s="35"/>
    </row>
    <row r="887" spans="9:11" ht="15" customHeight="1">
      <c r="I887" s="35"/>
      <c r="J887" s="35"/>
      <c r="K887" s="35"/>
    </row>
    <row r="888" spans="9:11" ht="15" customHeight="1">
      <c r="I888" s="35"/>
      <c r="J888" s="35"/>
      <c r="K888" s="35"/>
    </row>
    <row r="889" spans="9:11" ht="15" customHeight="1">
      <c r="I889" s="35"/>
      <c r="J889" s="35"/>
      <c r="K889" s="35"/>
    </row>
    <row r="890" spans="9:11" ht="15" customHeight="1">
      <c r="I890" s="35"/>
      <c r="J890" s="35"/>
      <c r="K890" s="35"/>
    </row>
    <row r="891" spans="9:11" ht="15" customHeight="1">
      <c r="I891" s="35"/>
      <c r="J891" s="35"/>
      <c r="K891" s="35"/>
    </row>
    <row r="892" spans="9:11" ht="15" customHeight="1">
      <c r="I892" s="35"/>
      <c r="J892" s="35"/>
      <c r="K892" s="35"/>
    </row>
    <row r="893" spans="9:11" ht="15" customHeight="1">
      <c r="I893" s="35"/>
      <c r="J893" s="35"/>
      <c r="K893" s="35"/>
    </row>
    <row r="894" spans="9:11" ht="15" customHeight="1">
      <c r="I894" s="35"/>
      <c r="J894" s="35"/>
      <c r="K894" s="35"/>
    </row>
    <row r="895" spans="9:11" ht="15" customHeight="1">
      <c r="I895" s="35"/>
      <c r="J895" s="35"/>
      <c r="K895" s="35"/>
    </row>
    <row r="896" spans="9:11" ht="15" customHeight="1">
      <c r="I896" s="35"/>
      <c r="J896" s="35"/>
      <c r="K896" s="35"/>
    </row>
    <row r="897" spans="9:11" ht="15" customHeight="1">
      <c r="I897" s="35"/>
      <c r="J897" s="35"/>
      <c r="K897" s="35"/>
    </row>
    <row r="898" spans="9:11" ht="15" customHeight="1">
      <c r="I898" s="35"/>
      <c r="J898" s="35"/>
      <c r="K898" s="35"/>
    </row>
    <row r="899" spans="9:11" ht="15" customHeight="1">
      <c r="I899" s="35"/>
      <c r="J899" s="35"/>
      <c r="K899" s="35"/>
    </row>
    <row r="900" spans="9:11" ht="15" customHeight="1">
      <c r="I900" s="35"/>
      <c r="J900" s="35"/>
      <c r="K900" s="35"/>
    </row>
    <row r="901" spans="9:11" ht="15" customHeight="1">
      <c r="I901" s="35"/>
      <c r="J901" s="35"/>
      <c r="K901" s="35"/>
    </row>
    <row r="902" spans="9:11" ht="15" customHeight="1">
      <c r="I902" s="35"/>
      <c r="J902" s="35"/>
      <c r="K902" s="35"/>
    </row>
    <row r="903" spans="9:11" ht="15" customHeight="1">
      <c r="I903" s="35"/>
      <c r="J903" s="35"/>
      <c r="K903" s="35"/>
    </row>
    <row r="904" spans="9:11" ht="15" customHeight="1">
      <c r="I904" s="35"/>
      <c r="J904" s="35"/>
      <c r="K904" s="35"/>
    </row>
    <row r="905" spans="9:11" ht="15" customHeight="1">
      <c r="I905" s="35"/>
      <c r="J905" s="35"/>
      <c r="K905" s="35"/>
    </row>
    <row r="906" spans="9:11" ht="15" customHeight="1">
      <c r="I906" s="35"/>
      <c r="J906" s="35"/>
      <c r="K906" s="35"/>
    </row>
    <row r="907" spans="9:11" ht="15" customHeight="1">
      <c r="I907" s="35"/>
      <c r="J907" s="35"/>
      <c r="K907" s="35"/>
    </row>
    <row r="908" spans="9:11" ht="15" customHeight="1">
      <c r="I908" s="35"/>
      <c r="J908" s="35"/>
      <c r="K908" s="35"/>
    </row>
    <row r="909" spans="9:11" ht="15" customHeight="1">
      <c r="I909" s="35"/>
      <c r="J909" s="35"/>
      <c r="K909" s="35"/>
    </row>
    <row r="910" spans="9:11" ht="15" customHeight="1">
      <c r="I910" s="35"/>
      <c r="J910" s="35"/>
      <c r="K910" s="35"/>
    </row>
    <row r="911" spans="9:11" ht="15" customHeight="1">
      <c r="I911" s="35"/>
      <c r="J911" s="35"/>
      <c r="K911" s="35"/>
    </row>
    <row r="912" spans="9:11" ht="15" customHeight="1">
      <c r="I912" s="35"/>
      <c r="J912" s="35"/>
      <c r="K912" s="35"/>
    </row>
    <row r="913" spans="9:11" ht="15" customHeight="1">
      <c r="I913" s="35"/>
      <c r="J913" s="35"/>
      <c r="K913" s="35"/>
    </row>
    <row r="914" spans="9:11" ht="15" customHeight="1">
      <c r="I914" s="35"/>
      <c r="J914" s="35"/>
      <c r="K914" s="35"/>
    </row>
    <row r="915" spans="9:11" ht="15" customHeight="1">
      <c r="I915" s="35"/>
      <c r="J915" s="35"/>
      <c r="K915" s="35"/>
    </row>
    <row r="916" spans="9:11" ht="15" customHeight="1">
      <c r="I916" s="35"/>
      <c r="J916" s="35"/>
      <c r="K916" s="35"/>
    </row>
    <row r="917" spans="9:11" ht="15" customHeight="1">
      <c r="I917" s="35"/>
      <c r="J917" s="35"/>
      <c r="K917" s="35"/>
    </row>
    <row r="918" spans="9:11" ht="15" customHeight="1">
      <c r="I918" s="35"/>
      <c r="J918" s="35"/>
      <c r="K918" s="35"/>
    </row>
    <row r="919" spans="9:11" ht="15" customHeight="1">
      <c r="I919" s="35"/>
      <c r="J919" s="35"/>
      <c r="K919" s="35"/>
    </row>
    <row r="920" spans="9:11" ht="15" customHeight="1">
      <c r="I920" s="35"/>
      <c r="J920" s="35"/>
      <c r="K920" s="35"/>
    </row>
    <row r="921" spans="9:11" ht="15" customHeight="1">
      <c r="I921" s="35"/>
      <c r="J921" s="35"/>
      <c r="K921" s="35"/>
    </row>
    <row r="922" spans="9:11" ht="15" customHeight="1">
      <c r="I922" s="35"/>
      <c r="J922" s="35"/>
      <c r="K922" s="35"/>
    </row>
    <row r="923" spans="9:11" ht="15" customHeight="1">
      <c r="I923" s="35"/>
      <c r="J923" s="35"/>
      <c r="K923" s="35"/>
    </row>
    <row r="924" spans="9:11" ht="15" customHeight="1">
      <c r="I924" s="35"/>
      <c r="J924" s="35"/>
      <c r="K924" s="35"/>
    </row>
    <row r="925" spans="9:11" ht="15" customHeight="1">
      <c r="I925" s="35"/>
      <c r="J925" s="35"/>
      <c r="K925" s="35"/>
    </row>
    <row r="926" spans="9:11" ht="15" customHeight="1">
      <c r="I926" s="35"/>
      <c r="J926" s="35"/>
      <c r="K926" s="35"/>
    </row>
    <row r="927" spans="9:11" ht="15" customHeight="1">
      <c r="I927" s="35"/>
      <c r="J927" s="35"/>
      <c r="K927" s="35"/>
    </row>
    <row r="928" spans="9:11" ht="15" customHeight="1">
      <c r="I928" s="35"/>
      <c r="J928" s="35"/>
      <c r="K928" s="35"/>
    </row>
    <row r="929" spans="9:11" ht="15" customHeight="1">
      <c r="I929" s="35"/>
      <c r="J929" s="35"/>
      <c r="K929" s="35"/>
    </row>
    <row r="930" spans="9:11" ht="15" customHeight="1">
      <c r="I930" s="35"/>
      <c r="J930" s="35"/>
      <c r="K930" s="35"/>
    </row>
    <row r="931" spans="9:11" ht="15" customHeight="1">
      <c r="I931" s="35"/>
      <c r="J931" s="35"/>
      <c r="K931" s="35"/>
    </row>
    <row r="932" spans="9:11" ht="15" customHeight="1">
      <c r="I932" s="35"/>
      <c r="J932" s="35"/>
      <c r="K932" s="35"/>
    </row>
    <row r="933" spans="9:11" ht="15" customHeight="1">
      <c r="I933" s="35"/>
      <c r="J933" s="35"/>
      <c r="K933" s="35"/>
    </row>
    <row r="934" spans="9:11" ht="15" customHeight="1">
      <c r="I934" s="35"/>
      <c r="J934" s="35"/>
      <c r="K934" s="35"/>
    </row>
    <row r="935" spans="9:11" ht="15" customHeight="1">
      <c r="I935" s="35"/>
      <c r="J935" s="35"/>
      <c r="K935" s="35"/>
    </row>
    <row r="936" spans="9:11" ht="15" customHeight="1">
      <c r="I936" s="35"/>
      <c r="J936" s="35"/>
      <c r="K936" s="35"/>
    </row>
    <row r="937" spans="9:11" ht="15" customHeight="1">
      <c r="I937" s="35"/>
      <c r="J937" s="35"/>
      <c r="K937" s="35"/>
    </row>
    <row r="938" spans="9:11" ht="15" customHeight="1">
      <c r="I938" s="35"/>
      <c r="J938" s="35"/>
      <c r="K938" s="35"/>
    </row>
    <row r="939" spans="9:11" ht="15" customHeight="1">
      <c r="I939" s="35"/>
      <c r="J939" s="35"/>
      <c r="K939" s="35"/>
    </row>
    <row r="940" spans="9:11" ht="15" customHeight="1">
      <c r="I940" s="35"/>
      <c r="J940" s="35"/>
      <c r="K940" s="35"/>
    </row>
    <row r="941" spans="9:11" ht="15" customHeight="1">
      <c r="I941" s="35"/>
      <c r="J941" s="35"/>
      <c r="K941" s="35"/>
    </row>
    <row r="942" spans="9:11" ht="15" customHeight="1">
      <c r="I942" s="35"/>
      <c r="J942" s="35"/>
      <c r="K942" s="35"/>
    </row>
    <row r="943" spans="9:11" ht="15" customHeight="1">
      <c r="I943" s="35"/>
      <c r="J943" s="35"/>
      <c r="K943" s="35"/>
    </row>
    <row r="944" spans="9:11" ht="15" customHeight="1">
      <c r="I944" s="35"/>
      <c r="J944" s="35"/>
      <c r="K944" s="35"/>
    </row>
    <row r="945" spans="9:11" ht="15" customHeight="1">
      <c r="I945" s="35"/>
      <c r="J945" s="35"/>
      <c r="K945" s="35"/>
    </row>
    <row r="946" spans="9:11" ht="15" customHeight="1">
      <c r="I946" s="35"/>
      <c r="J946" s="35"/>
      <c r="K946" s="35"/>
    </row>
    <row r="947" spans="9:11" ht="15" customHeight="1">
      <c r="I947" s="35"/>
      <c r="J947" s="35"/>
      <c r="K947" s="35"/>
    </row>
    <row r="948" spans="9:11" ht="15" customHeight="1">
      <c r="I948" s="35"/>
      <c r="J948" s="35"/>
      <c r="K948" s="35"/>
    </row>
    <row r="949" spans="9:11" ht="15" customHeight="1">
      <c r="I949" s="35"/>
      <c r="J949" s="35"/>
      <c r="K949" s="35"/>
    </row>
    <row r="950" spans="9:11" ht="15" customHeight="1">
      <c r="I950" s="35"/>
      <c r="J950" s="35"/>
      <c r="K950" s="35"/>
    </row>
    <row r="951" spans="9:11" ht="15" customHeight="1">
      <c r="I951" s="35"/>
      <c r="J951" s="35"/>
      <c r="K951" s="35"/>
    </row>
    <row r="952" spans="9:11" ht="15" customHeight="1">
      <c r="I952" s="35"/>
      <c r="J952" s="35"/>
      <c r="K952" s="35"/>
    </row>
    <row r="953" spans="9:11" ht="15" customHeight="1">
      <c r="I953" s="35"/>
      <c r="J953" s="35"/>
      <c r="K953" s="35"/>
    </row>
    <row r="954" spans="9:11" ht="15" customHeight="1">
      <c r="I954" s="35"/>
      <c r="J954" s="35"/>
      <c r="K954" s="35"/>
    </row>
    <row r="955" spans="9:11" ht="15" customHeight="1">
      <c r="I955" s="35"/>
      <c r="J955" s="35"/>
      <c r="K955" s="35"/>
    </row>
    <row r="956" spans="9:11" ht="15" customHeight="1">
      <c r="I956" s="35"/>
      <c r="J956" s="35"/>
      <c r="K956" s="35"/>
    </row>
    <row r="957" spans="9:11" ht="15" customHeight="1">
      <c r="I957" s="35"/>
      <c r="J957" s="35"/>
      <c r="K957" s="35"/>
    </row>
    <row r="958" spans="9:11" ht="15" customHeight="1">
      <c r="I958" s="35"/>
      <c r="J958" s="35"/>
      <c r="K958" s="35"/>
    </row>
    <row r="959" spans="9:11" ht="15" customHeight="1">
      <c r="I959" s="35"/>
      <c r="J959" s="35"/>
      <c r="K959" s="35"/>
    </row>
    <row r="960" spans="9:11" ht="15" customHeight="1">
      <c r="I960" s="35"/>
      <c r="J960" s="35"/>
      <c r="K960" s="35"/>
    </row>
    <row r="961" spans="9:11" ht="15" customHeight="1">
      <c r="I961" s="35"/>
      <c r="J961" s="35"/>
      <c r="K961" s="35"/>
    </row>
    <row r="962" spans="9:11" ht="15" customHeight="1">
      <c r="I962" s="35"/>
      <c r="J962" s="35"/>
      <c r="K962" s="35"/>
    </row>
    <row r="963" spans="9:11" ht="15" customHeight="1">
      <c r="I963" s="35"/>
      <c r="J963" s="35"/>
      <c r="K963" s="35"/>
    </row>
    <row r="964" spans="9:11" ht="15" customHeight="1">
      <c r="I964" s="35"/>
      <c r="J964" s="35"/>
      <c r="K964" s="35"/>
    </row>
    <row r="965" spans="9:11" ht="15" customHeight="1">
      <c r="I965" s="35"/>
      <c r="J965" s="35"/>
      <c r="K965" s="35"/>
    </row>
    <row r="966" spans="9:11" ht="15" customHeight="1">
      <c r="I966" s="35"/>
      <c r="J966" s="35"/>
      <c r="K966" s="35"/>
    </row>
    <row r="967" spans="9:11" ht="15" customHeight="1">
      <c r="I967" s="35"/>
      <c r="J967" s="35"/>
      <c r="K967" s="35"/>
    </row>
    <row r="968" spans="9:11" ht="15" customHeight="1">
      <c r="I968" s="35"/>
      <c r="J968" s="35"/>
      <c r="K968" s="35"/>
    </row>
    <row r="969" spans="9:11" ht="15" customHeight="1">
      <c r="I969" s="35"/>
      <c r="J969" s="35"/>
      <c r="K969" s="35"/>
    </row>
    <row r="970" spans="9:11" ht="15" customHeight="1">
      <c r="I970" s="35"/>
      <c r="J970" s="35"/>
      <c r="K970" s="35"/>
    </row>
    <row r="971" spans="9:11" ht="15" customHeight="1">
      <c r="I971" s="35"/>
      <c r="J971" s="35"/>
      <c r="K971" s="35"/>
    </row>
    <row r="972" spans="9:11" ht="15" customHeight="1">
      <c r="I972" s="35"/>
      <c r="J972" s="35"/>
      <c r="K972" s="35"/>
    </row>
    <row r="973" spans="9:11" ht="15" customHeight="1">
      <c r="I973" s="35"/>
      <c r="J973" s="35"/>
      <c r="K973" s="35"/>
    </row>
    <row r="974" spans="9:11" ht="15" customHeight="1">
      <c r="I974" s="35"/>
      <c r="J974" s="35"/>
      <c r="K974" s="35"/>
    </row>
    <row r="975" spans="9:11" ht="15" customHeight="1">
      <c r="I975" s="35"/>
      <c r="J975" s="35"/>
      <c r="K975" s="35"/>
    </row>
    <row r="976" spans="9:11" ht="15" customHeight="1">
      <c r="I976" s="35"/>
      <c r="J976" s="35"/>
      <c r="K976" s="35"/>
    </row>
    <row r="977" spans="9:11" ht="15" customHeight="1">
      <c r="I977" s="35"/>
      <c r="J977" s="35"/>
      <c r="K977" s="35"/>
    </row>
    <row r="978" spans="9:11" ht="15" customHeight="1">
      <c r="I978" s="35"/>
      <c r="J978" s="35"/>
      <c r="K978" s="35"/>
    </row>
    <row r="979" spans="9:11" ht="15" customHeight="1">
      <c r="I979" s="35"/>
      <c r="J979" s="35"/>
      <c r="K979" s="35"/>
    </row>
    <row r="980" spans="9:11" ht="15" customHeight="1">
      <c r="I980" s="35"/>
      <c r="J980" s="35"/>
      <c r="K980" s="35"/>
    </row>
    <row r="981" spans="9:11" ht="15" customHeight="1">
      <c r="I981" s="35"/>
      <c r="J981" s="35"/>
      <c r="K981" s="35"/>
    </row>
    <row r="982" spans="9:11" ht="15" customHeight="1">
      <c r="I982" s="35"/>
      <c r="J982" s="35"/>
      <c r="K982" s="35"/>
    </row>
    <row r="983" spans="9:11" ht="15" customHeight="1">
      <c r="I983" s="35"/>
      <c r="J983" s="35"/>
      <c r="K983" s="35"/>
    </row>
    <row r="984" spans="9:11" ht="15" customHeight="1">
      <c r="I984" s="35"/>
      <c r="J984" s="35"/>
      <c r="K984" s="35"/>
    </row>
    <row r="985" spans="9:11" ht="15" customHeight="1">
      <c r="I985" s="35"/>
      <c r="J985" s="35"/>
      <c r="K985" s="35"/>
    </row>
    <row r="986" spans="9:11" ht="15" customHeight="1">
      <c r="I986" s="35"/>
      <c r="J986" s="35"/>
      <c r="K986" s="35"/>
    </row>
    <row r="987" spans="9:11" ht="15" customHeight="1">
      <c r="I987" s="35"/>
      <c r="J987" s="35"/>
      <c r="K987" s="35"/>
    </row>
    <row r="988" spans="9:11" ht="15" customHeight="1">
      <c r="I988" s="35"/>
      <c r="J988" s="35"/>
      <c r="K988" s="35"/>
    </row>
    <row r="989" spans="9:11" ht="15" customHeight="1">
      <c r="I989" s="35"/>
      <c r="J989" s="35"/>
      <c r="K989" s="35"/>
    </row>
    <row r="990" spans="9:11" ht="15" customHeight="1">
      <c r="I990" s="35"/>
      <c r="J990" s="35"/>
      <c r="K990" s="35"/>
    </row>
    <row r="991" spans="9:11" ht="15" customHeight="1">
      <c r="I991" s="35"/>
      <c r="J991" s="35"/>
      <c r="K991" s="35"/>
    </row>
    <row r="992" spans="9:11" ht="15" customHeight="1">
      <c r="I992" s="35"/>
      <c r="J992" s="35"/>
      <c r="K992" s="35"/>
    </row>
    <row r="993" spans="9:11" ht="15" customHeight="1">
      <c r="I993" s="35"/>
      <c r="J993" s="35"/>
      <c r="K993" s="35"/>
    </row>
    <row r="994" spans="9:11" ht="15" customHeight="1">
      <c r="I994" s="35"/>
      <c r="J994" s="35"/>
      <c r="K994" s="35"/>
    </row>
    <row r="995" spans="9:11" ht="15" customHeight="1">
      <c r="I995" s="35"/>
      <c r="J995" s="35"/>
      <c r="K995" s="35"/>
    </row>
    <row r="996" spans="9:11" ht="15" customHeight="1">
      <c r="I996" s="35"/>
      <c r="J996" s="35"/>
      <c r="K996" s="35"/>
    </row>
    <row r="997" spans="9:11" ht="15" customHeight="1">
      <c r="I997" s="35"/>
      <c r="J997" s="35"/>
      <c r="K997" s="35"/>
    </row>
    <row r="998" spans="9:11" ht="15" customHeight="1">
      <c r="I998" s="35"/>
      <c r="J998" s="35"/>
      <c r="K998" s="35"/>
    </row>
    <row r="999" spans="9:11" ht="15" customHeight="1">
      <c r="I999" s="35"/>
      <c r="J999" s="35"/>
      <c r="K999" s="35"/>
    </row>
    <row r="1000" spans="9:11" ht="15" customHeight="1">
      <c r="I1000" s="35"/>
      <c r="J1000" s="35"/>
      <c r="K1000" s="35"/>
    </row>
    <row r="1001" spans="9:11" ht="15" customHeight="1">
      <c r="I1001" s="35"/>
      <c r="J1001" s="35"/>
      <c r="K1001" s="35"/>
    </row>
    <row r="1002" spans="9:11" ht="15" customHeight="1">
      <c r="I1002" s="35"/>
      <c r="J1002" s="35"/>
      <c r="K1002" s="35"/>
    </row>
    <row r="1003" spans="9:11" ht="15" customHeight="1">
      <c r="I1003" s="35"/>
      <c r="J1003" s="35"/>
      <c r="K1003" s="35"/>
    </row>
    <row r="1004" spans="9:11" ht="15" customHeight="1">
      <c r="I1004" s="35"/>
      <c r="J1004" s="35"/>
      <c r="K1004" s="35"/>
    </row>
    <row r="1005" spans="9:11" ht="15" customHeight="1">
      <c r="I1005" s="35"/>
      <c r="J1005" s="35"/>
      <c r="K1005" s="35"/>
    </row>
    <row r="1006" spans="9:11" ht="15" customHeight="1">
      <c r="I1006" s="35"/>
      <c r="J1006" s="35"/>
      <c r="K1006" s="35"/>
    </row>
    <row r="1007" spans="9:11" ht="15" customHeight="1">
      <c r="I1007" s="35"/>
      <c r="J1007" s="35"/>
      <c r="K1007" s="35"/>
    </row>
    <row r="1008" spans="9:11" ht="15" customHeight="1">
      <c r="I1008" s="35"/>
      <c r="J1008" s="35"/>
      <c r="K1008" s="35"/>
    </row>
    <row r="1009" spans="9:11" ht="15" customHeight="1">
      <c r="I1009" s="35"/>
      <c r="J1009" s="35"/>
      <c r="K1009" s="35"/>
    </row>
    <row r="1010" spans="9:11" ht="15" customHeight="1">
      <c r="I1010" s="35"/>
      <c r="J1010" s="35"/>
      <c r="K1010" s="35"/>
    </row>
    <row r="1011" spans="9:11" ht="15" customHeight="1">
      <c r="I1011" s="35"/>
      <c r="J1011" s="35"/>
      <c r="K1011" s="35"/>
    </row>
    <row r="1012" spans="9:11" ht="15" customHeight="1">
      <c r="I1012" s="35"/>
      <c r="J1012" s="35"/>
      <c r="K1012" s="35"/>
    </row>
    <row r="1013" spans="9:11" ht="15" customHeight="1">
      <c r="I1013" s="35"/>
      <c r="J1013" s="35"/>
      <c r="K1013" s="35"/>
    </row>
    <row r="1014" spans="9:11" ht="15" customHeight="1">
      <c r="I1014" s="35"/>
      <c r="J1014" s="35"/>
      <c r="K1014" s="35"/>
    </row>
    <row r="1015" spans="9:11" ht="15" customHeight="1">
      <c r="I1015" s="35"/>
      <c r="J1015" s="35"/>
      <c r="K1015" s="35"/>
    </row>
    <row r="1016" spans="9:11" ht="15" customHeight="1">
      <c r="I1016" s="35"/>
      <c r="J1016" s="35"/>
      <c r="K1016" s="35"/>
    </row>
    <row r="1017" spans="9:11" ht="15" customHeight="1">
      <c r="I1017" s="35"/>
      <c r="J1017" s="35"/>
      <c r="K1017" s="35"/>
    </row>
    <row r="1018" spans="9:11" ht="15" customHeight="1">
      <c r="I1018" s="35"/>
      <c r="J1018" s="35"/>
      <c r="K1018" s="35"/>
    </row>
    <row r="1019" spans="9:11" ht="15" customHeight="1">
      <c r="I1019" s="35"/>
      <c r="J1019" s="35"/>
      <c r="K1019" s="35"/>
    </row>
    <row r="1020" spans="9:11" ht="15" customHeight="1">
      <c r="I1020" s="35"/>
      <c r="J1020" s="35"/>
      <c r="K1020" s="35"/>
    </row>
    <row r="1021" spans="9:11" ht="15" customHeight="1">
      <c r="I1021" s="35"/>
      <c r="J1021" s="35"/>
      <c r="K1021" s="35"/>
    </row>
    <row r="1022" spans="9:11" ht="15" customHeight="1">
      <c r="I1022" s="35"/>
      <c r="J1022" s="35"/>
      <c r="K1022" s="35"/>
    </row>
    <row r="1023" spans="9:11" ht="15" customHeight="1">
      <c r="I1023" s="35"/>
      <c r="J1023" s="35"/>
      <c r="K1023" s="35"/>
    </row>
    <row r="1024" spans="9:11" ht="15" customHeight="1">
      <c r="I1024" s="35"/>
      <c r="J1024" s="35"/>
      <c r="K1024" s="35"/>
    </row>
    <row r="1025" spans="9:11" ht="15" customHeight="1">
      <c r="I1025" s="35"/>
      <c r="J1025" s="35"/>
      <c r="K1025" s="35"/>
    </row>
    <row r="1026" spans="9:11" ht="15" customHeight="1">
      <c r="I1026" s="35"/>
      <c r="J1026" s="35"/>
      <c r="K1026" s="35"/>
    </row>
    <row r="1027" spans="9:11" ht="15" customHeight="1">
      <c r="I1027" s="35"/>
      <c r="J1027" s="35"/>
      <c r="K1027" s="35"/>
    </row>
    <row r="1028" spans="9:11" ht="15" customHeight="1">
      <c r="I1028" s="35"/>
      <c r="J1028" s="35"/>
      <c r="K1028" s="35"/>
    </row>
    <row r="1029" spans="9:11" ht="15" customHeight="1">
      <c r="I1029" s="35"/>
      <c r="J1029" s="35"/>
      <c r="K1029" s="35"/>
    </row>
    <row r="1030" spans="9:11" ht="15" customHeight="1">
      <c r="I1030" s="35"/>
      <c r="J1030" s="35"/>
      <c r="K1030" s="35"/>
    </row>
    <row r="1031" spans="9:11" ht="15" customHeight="1">
      <c r="I1031" s="35"/>
      <c r="J1031" s="35"/>
      <c r="K1031" s="35"/>
    </row>
    <row r="1032" spans="9:11" ht="15" customHeight="1">
      <c r="I1032" s="35"/>
      <c r="J1032" s="35"/>
      <c r="K1032" s="35"/>
    </row>
    <row r="1033" spans="9:11" ht="15" customHeight="1">
      <c r="I1033" s="35"/>
      <c r="J1033" s="35"/>
      <c r="K1033" s="35"/>
    </row>
    <row r="1034" spans="9:11" ht="15" customHeight="1">
      <c r="I1034" s="35"/>
      <c r="J1034" s="35"/>
      <c r="K1034" s="35"/>
    </row>
    <row r="1035" spans="9:11" ht="15" customHeight="1">
      <c r="I1035" s="35"/>
      <c r="J1035" s="35"/>
      <c r="K1035" s="35"/>
    </row>
    <row r="1036" spans="9:11" ht="15" customHeight="1">
      <c r="I1036" s="35"/>
      <c r="J1036" s="35"/>
      <c r="K1036" s="35"/>
    </row>
    <row r="1037" spans="9:11" ht="15" customHeight="1">
      <c r="I1037" s="35"/>
      <c r="J1037" s="35"/>
      <c r="K1037" s="35"/>
    </row>
    <row r="1038" spans="9:11" ht="15" customHeight="1">
      <c r="I1038" s="35"/>
      <c r="J1038" s="35"/>
      <c r="K1038" s="35"/>
    </row>
    <row r="1039" spans="9:11" ht="15" customHeight="1">
      <c r="I1039" s="35"/>
      <c r="J1039" s="35"/>
      <c r="K1039" s="35"/>
    </row>
    <row r="1040" spans="9:11" ht="15" customHeight="1">
      <c r="I1040" s="35"/>
      <c r="J1040" s="35"/>
      <c r="K1040" s="35"/>
    </row>
    <row r="1041" spans="9:11" ht="15" customHeight="1">
      <c r="I1041" s="35"/>
      <c r="J1041" s="35"/>
      <c r="K1041" s="35"/>
    </row>
    <row r="1042" spans="9:11" ht="15" customHeight="1">
      <c r="I1042" s="35"/>
      <c r="J1042" s="35"/>
      <c r="K1042" s="35"/>
    </row>
    <row r="1043" spans="9:11" ht="15" customHeight="1">
      <c r="I1043" s="35"/>
      <c r="J1043" s="35"/>
      <c r="K1043" s="35"/>
    </row>
    <row r="1044" spans="9:11" ht="15" customHeight="1">
      <c r="I1044" s="35"/>
      <c r="J1044" s="35"/>
      <c r="K1044" s="35"/>
    </row>
    <row r="1045" spans="9:11" ht="15" customHeight="1">
      <c r="I1045" s="35"/>
      <c r="J1045" s="35"/>
      <c r="K1045" s="35"/>
    </row>
    <row r="1046" spans="9:11" ht="15" customHeight="1">
      <c r="I1046" s="35"/>
      <c r="J1046" s="35"/>
      <c r="K1046" s="35"/>
    </row>
    <row r="1047" spans="9:11" ht="15" customHeight="1">
      <c r="I1047" s="35"/>
      <c r="J1047" s="35"/>
      <c r="K1047" s="35"/>
    </row>
    <row r="1048" spans="9:11" ht="15" customHeight="1">
      <c r="I1048" s="35"/>
      <c r="J1048" s="35"/>
      <c r="K1048" s="35"/>
    </row>
    <row r="1049" spans="9:11" ht="15" customHeight="1">
      <c r="I1049" s="35"/>
      <c r="J1049" s="35"/>
      <c r="K1049" s="35"/>
    </row>
    <row r="1050" spans="9:11" ht="15" customHeight="1">
      <c r="I1050" s="35"/>
      <c r="J1050" s="35"/>
      <c r="K1050" s="35"/>
    </row>
    <row r="1051" spans="9:11" ht="15" customHeight="1">
      <c r="I1051" s="35"/>
      <c r="J1051" s="35"/>
      <c r="K1051" s="35"/>
    </row>
    <row r="1052" spans="9:11" ht="15" customHeight="1">
      <c r="I1052" s="35"/>
      <c r="J1052" s="35"/>
      <c r="K1052" s="35"/>
    </row>
    <row r="1053" spans="9:11" ht="15" customHeight="1">
      <c r="I1053" s="35"/>
      <c r="J1053" s="35"/>
      <c r="K1053" s="35"/>
    </row>
    <row r="1054" spans="9:11" ht="15" customHeight="1">
      <c r="I1054" s="35"/>
      <c r="J1054" s="35"/>
      <c r="K1054" s="35"/>
    </row>
    <row r="1055" spans="9:11" ht="15" customHeight="1">
      <c r="I1055" s="35"/>
      <c r="J1055" s="35"/>
      <c r="K1055" s="35"/>
    </row>
    <row r="1056" spans="9:11" ht="15" customHeight="1">
      <c r="I1056" s="35"/>
      <c r="J1056" s="35"/>
      <c r="K1056" s="35"/>
    </row>
    <row r="1057" spans="9:11" ht="15" customHeight="1">
      <c r="I1057" s="35"/>
      <c r="J1057" s="35"/>
      <c r="K1057" s="35"/>
    </row>
    <row r="1058" spans="9:11" ht="15" customHeight="1">
      <c r="I1058" s="35"/>
      <c r="J1058" s="35"/>
      <c r="K1058" s="35"/>
    </row>
    <row r="1059" spans="9:11" ht="15" customHeight="1">
      <c r="I1059" s="35"/>
      <c r="J1059" s="35"/>
      <c r="K1059" s="35"/>
    </row>
    <row r="1060" spans="9:11" ht="15" customHeight="1">
      <c r="I1060" s="35"/>
      <c r="J1060" s="35"/>
      <c r="K1060" s="35"/>
    </row>
    <row r="1061" spans="9:11" ht="15" customHeight="1">
      <c r="I1061" s="35"/>
      <c r="J1061" s="35"/>
      <c r="K1061" s="35"/>
    </row>
    <row r="1062" spans="9:11" ht="15" customHeight="1">
      <c r="I1062" s="35"/>
      <c r="J1062" s="35"/>
      <c r="K1062" s="35"/>
    </row>
    <row r="1063" spans="9:11" ht="15" customHeight="1">
      <c r="I1063" s="35"/>
      <c r="J1063" s="35"/>
      <c r="K1063" s="35"/>
    </row>
    <row r="1064" spans="9:11" ht="15" customHeight="1">
      <c r="I1064" s="35"/>
      <c r="J1064" s="35"/>
      <c r="K1064" s="35"/>
    </row>
    <row r="1065" spans="9:11" ht="15" customHeight="1">
      <c r="I1065" s="35"/>
      <c r="J1065" s="35"/>
      <c r="K1065" s="35"/>
    </row>
    <row r="1066" spans="9:11" ht="15" customHeight="1">
      <c r="I1066" s="35"/>
      <c r="J1066" s="35"/>
      <c r="K1066" s="35"/>
    </row>
    <row r="1067" spans="9:11" ht="15" customHeight="1">
      <c r="I1067" s="35"/>
      <c r="J1067" s="35"/>
      <c r="K1067" s="35"/>
    </row>
    <row r="1068" spans="9:11" ht="15" customHeight="1">
      <c r="I1068" s="35"/>
      <c r="J1068" s="35"/>
      <c r="K1068" s="35"/>
    </row>
    <row r="1069" spans="9:11" ht="15" customHeight="1">
      <c r="I1069" s="35"/>
      <c r="J1069" s="35"/>
      <c r="K1069" s="35"/>
    </row>
    <row r="1070" spans="9:11" ht="15" customHeight="1">
      <c r="I1070" s="35"/>
      <c r="J1070" s="35"/>
      <c r="K1070" s="35"/>
    </row>
    <row r="1071" spans="9:11" ht="15" customHeight="1">
      <c r="I1071" s="35"/>
      <c r="J1071" s="35"/>
      <c r="K1071" s="35"/>
    </row>
    <row r="1072" spans="9:11" ht="15" customHeight="1">
      <c r="I1072" s="35"/>
      <c r="J1072" s="35"/>
      <c r="K1072" s="35"/>
    </row>
    <row r="1073" spans="9:11" ht="15" customHeight="1">
      <c r="I1073" s="35"/>
      <c r="J1073" s="35"/>
      <c r="K1073" s="35"/>
    </row>
    <row r="1074" spans="9:11" ht="15" customHeight="1">
      <c r="I1074" s="35"/>
      <c r="J1074" s="35"/>
      <c r="K1074" s="35"/>
    </row>
    <row r="1075" spans="9:11" ht="15" customHeight="1">
      <c r="I1075" s="35"/>
      <c r="J1075" s="35"/>
      <c r="K1075" s="35"/>
    </row>
    <row r="1076" spans="9:11" ht="15" customHeight="1">
      <c r="I1076" s="35"/>
      <c r="J1076" s="35"/>
      <c r="K1076" s="35"/>
    </row>
    <row r="1077" spans="9:11" ht="15" customHeight="1">
      <c r="I1077" s="35"/>
      <c r="J1077" s="35"/>
      <c r="K1077" s="35"/>
    </row>
    <row r="1078" spans="9:11" ht="15" customHeight="1">
      <c r="I1078" s="35"/>
      <c r="J1078" s="35"/>
      <c r="K1078" s="35"/>
    </row>
    <row r="1079" spans="9:11" ht="15" customHeight="1">
      <c r="I1079" s="35"/>
      <c r="J1079" s="35"/>
      <c r="K1079" s="35"/>
    </row>
    <row r="1080" spans="9:11" ht="15" customHeight="1">
      <c r="I1080" s="35"/>
      <c r="J1080" s="35"/>
      <c r="K1080" s="35"/>
    </row>
    <row r="1081" spans="9:11" ht="15" customHeight="1">
      <c r="I1081" s="35"/>
      <c r="J1081" s="35"/>
      <c r="K1081" s="35"/>
    </row>
    <row r="1082" spans="9:11" ht="15" customHeight="1">
      <c r="I1082" s="35"/>
      <c r="J1082" s="35"/>
      <c r="K1082" s="35"/>
    </row>
    <row r="1083" spans="9:11" ht="15" customHeight="1">
      <c r="I1083" s="35"/>
      <c r="J1083" s="35"/>
      <c r="K1083" s="35"/>
    </row>
    <row r="1084" spans="9:11" ht="15" customHeight="1">
      <c r="I1084" s="35"/>
      <c r="J1084" s="35"/>
      <c r="K1084" s="35"/>
    </row>
    <row r="1085" spans="9:11" ht="15" customHeight="1">
      <c r="I1085" s="35"/>
      <c r="J1085" s="35"/>
      <c r="K1085" s="35"/>
    </row>
    <row r="1086" spans="9:11" ht="15" customHeight="1">
      <c r="I1086" s="35"/>
      <c r="J1086" s="35"/>
      <c r="K1086" s="35"/>
    </row>
    <row r="1087" spans="9:11" ht="15" customHeight="1">
      <c r="I1087" s="35"/>
      <c r="J1087" s="35"/>
      <c r="K1087" s="35"/>
    </row>
    <row r="1088" spans="9:11" ht="15" customHeight="1">
      <c r="I1088" s="35"/>
      <c r="J1088" s="35"/>
      <c r="K1088" s="35"/>
    </row>
    <row r="1089" spans="9:11" ht="15" customHeight="1">
      <c r="I1089" s="35"/>
      <c r="J1089" s="35"/>
      <c r="K1089" s="35"/>
    </row>
    <row r="1090" spans="9:11" ht="15" customHeight="1">
      <c r="I1090" s="35"/>
      <c r="J1090" s="35"/>
      <c r="K1090" s="35"/>
    </row>
    <row r="1091" spans="9:11" ht="15" customHeight="1">
      <c r="I1091" s="35"/>
      <c r="J1091" s="35"/>
      <c r="K1091" s="35"/>
    </row>
    <row r="1092" spans="9:11" ht="15" customHeight="1">
      <c r="I1092" s="35"/>
      <c r="J1092" s="35"/>
      <c r="K1092" s="35"/>
    </row>
    <row r="1093" spans="9:11" ht="15" customHeight="1">
      <c r="I1093" s="35"/>
      <c r="J1093" s="35"/>
      <c r="K1093" s="35"/>
    </row>
    <row r="1094" spans="9:11" ht="15" customHeight="1">
      <c r="I1094" s="35"/>
      <c r="J1094" s="35"/>
      <c r="K1094" s="35"/>
    </row>
    <row r="1095" spans="9:11" ht="15" customHeight="1">
      <c r="I1095" s="35"/>
      <c r="J1095" s="35"/>
      <c r="K1095" s="35"/>
    </row>
    <row r="1096" spans="9:11" ht="15" customHeight="1">
      <c r="I1096" s="35"/>
      <c r="J1096" s="35"/>
      <c r="K1096" s="35"/>
    </row>
    <row r="1097" spans="9:11" ht="15" customHeight="1">
      <c r="I1097" s="35"/>
      <c r="J1097" s="35"/>
      <c r="K1097" s="35"/>
    </row>
    <row r="1098" spans="9:11" ht="15" customHeight="1">
      <c r="I1098" s="35"/>
      <c r="J1098" s="35"/>
      <c r="K1098" s="35"/>
    </row>
    <row r="1099" spans="9:11" ht="15" customHeight="1">
      <c r="I1099" s="35"/>
      <c r="J1099" s="35"/>
      <c r="K1099" s="35"/>
    </row>
    <row r="1100" spans="9:11" ht="15" customHeight="1">
      <c r="I1100" s="35"/>
      <c r="J1100" s="35"/>
      <c r="K1100" s="35"/>
    </row>
    <row r="1101" spans="9:11" ht="15" customHeight="1">
      <c r="I1101" s="35"/>
      <c r="J1101" s="35"/>
      <c r="K1101" s="35"/>
    </row>
    <row r="1102" spans="9:11" ht="15" customHeight="1">
      <c r="I1102" s="35"/>
      <c r="J1102" s="35"/>
      <c r="K1102" s="35"/>
    </row>
    <row r="1103" spans="9:11" ht="15" customHeight="1">
      <c r="I1103" s="35"/>
      <c r="J1103" s="35"/>
      <c r="K1103" s="35"/>
    </row>
    <row r="1104" spans="9:11" ht="15" customHeight="1">
      <c r="I1104" s="35"/>
      <c r="J1104" s="35"/>
      <c r="K1104" s="35"/>
    </row>
    <row r="1105" spans="9:11" ht="15" customHeight="1">
      <c r="I1105" s="35"/>
      <c r="J1105" s="35"/>
      <c r="K1105" s="35"/>
    </row>
    <row r="1106" spans="9:11" ht="15" customHeight="1">
      <c r="I1106" s="35"/>
      <c r="J1106" s="35"/>
      <c r="K1106" s="35"/>
    </row>
    <row r="1107" spans="9:11" ht="15" customHeight="1">
      <c r="I1107" s="35"/>
      <c r="J1107" s="35"/>
      <c r="K1107" s="35"/>
    </row>
    <row r="1108" spans="9:11" ht="15" customHeight="1">
      <c r="I1108" s="35"/>
      <c r="J1108" s="35"/>
      <c r="K1108" s="35"/>
    </row>
    <row r="1109" spans="9:11" ht="15" customHeight="1">
      <c r="I1109" s="35"/>
      <c r="J1109" s="35"/>
      <c r="K1109" s="35"/>
    </row>
    <row r="1110" spans="9:11" ht="15" customHeight="1">
      <c r="I1110" s="35"/>
      <c r="J1110" s="35"/>
      <c r="K1110" s="35"/>
    </row>
    <row r="1111" spans="9:11" ht="15" customHeight="1">
      <c r="I1111" s="35"/>
      <c r="J1111" s="35"/>
      <c r="K1111" s="35"/>
    </row>
    <row r="1112" spans="9:11" ht="15" customHeight="1">
      <c r="I1112" s="35"/>
      <c r="J1112" s="35"/>
      <c r="K1112" s="35"/>
    </row>
    <row r="1113" spans="9:11" ht="15" customHeight="1">
      <c r="I1113" s="35"/>
      <c r="J1113" s="35"/>
      <c r="K1113" s="35"/>
    </row>
    <row r="1114" spans="9:11" ht="15" customHeight="1">
      <c r="I1114" s="35"/>
      <c r="J1114" s="35"/>
      <c r="K1114" s="35"/>
    </row>
    <row r="1115" spans="9:11" ht="15" customHeight="1">
      <c r="I1115" s="35"/>
      <c r="J1115" s="35"/>
      <c r="K1115" s="35"/>
    </row>
    <row r="1116" spans="9:11" ht="15" customHeight="1">
      <c r="I1116" s="35"/>
      <c r="J1116" s="35"/>
      <c r="K1116" s="35"/>
    </row>
    <row r="1117" spans="9:11" ht="15" customHeight="1">
      <c r="I1117" s="35"/>
      <c r="J1117" s="35"/>
      <c r="K1117" s="35"/>
    </row>
    <row r="1118" spans="9:11" ht="15" customHeight="1">
      <c r="I1118" s="35"/>
      <c r="J1118" s="35"/>
      <c r="K1118" s="35"/>
    </row>
    <row r="1119" spans="9:11" ht="15" customHeight="1">
      <c r="I1119" s="35"/>
      <c r="J1119" s="35"/>
      <c r="K1119" s="35"/>
    </row>
    <row r="1120" spans="9:11" ht="15" customHeight="1">
      <c r="I1120" s="35"/>
      <c r="J1120" s="35"/>
      <c r="K1120" s="35"/>
    </row>
    <row r="1121" spans="9:11" ht="15" customHeight="1">
      <c r="I1121" s="35"/>
      <c r="J1121" s="35"/>
      <c r="K1121" s="35"/>
    </row>
    <row r="1122" spans="9:11" ht="15" customHeight="1">
      <c r="I1122" s="35"/>
      <c r="J1122" s="35"/>
      <c r="K1122" s="35"/>
    </row>
    <row r="1123" spans="9:11" ht="15" customHeight="1">
      <c r="I1123" s="35"/>
      <c r="J1123" s="35"/>
      <c r="K1123" s="35"/>
    </row>
    <row r="1124" spans="9:11" ht="15" customHeight="1">
      <c r="I1124" s="35"/>
      <c r="J1124" s="35"/>
      <c r="K1124" s="35"/>
    </row>
    <row r="1125" spans="9:11" ht="15" customHeight="1">
      <c r="I1125" s="35"/>
      <c r="J1125" s="35"/>
      <c r="K1125" s="35"/>
    </row>
    <row r="1126" spans="9:11" ht="15" customHeight="1">
      <c r="I1126" s="35"/>
      <c r="J1126" s="35"/>
      <c r="K1126" s="35"/>
    </row>
    <row r="1127" spans="9:11" ht="15" customHeight="1">
      <c r="I1127" s="35"/>
      <c r="J1127" s="35"/>
      <c r="K1127" s="35"/>
    </row>
    <row r="1128" spans="9:11" ht="15" customHeight="1">
      <c r="I1128" s="35"/>
      <c r="J1128" s="35"/>
      <c r="K1128" s="35"/>
    </row>
    <row r="1129" spans="9:11" ht="15" customHeight="1">
      <c r="I1129" s="35"/>
      <c r="J1129" s="35"/>
      <c r="K1129" s="35"/>
    </row>
    <row r="1130" spans="9:11" ht="15" customHeight="1">
      <c r="I1130" s="35"/>
      <c r="J1130" s="35"/>
      <c r="K1130" s="35"/>
    </row>
    <row r="1131" spans="9:11" ht="15" customHeight="1">
      <c r="I1131" s="35"/>
      <c r="J1131" s="35"/>
      <c r="K1131" s="35"/>
    </row>
    <row r="1132" spans="9:11" ht="15" customHeight="1">
      <c r="I1132" s="35"/>
      <c r="J1132" s="35"/>
      <c r="K1132" s="35"/>
    </row>
    <row r="1133" spans="9:11" ht="15" customHeight="1">
      <c r="I1133" s="35"/>
      <c r="J1133" s="35"/>
      <c r="K1133" s="35"/>
    </row>
    <row r="1134" spans="9:11" ht="15" customHeight="1">
      <c r="I1134" s="35"/>
      <c r="J1134" s="35"/>
      <c r="K1134" s="35"/>
    </row>
    <row r="1135" spans="9:11" ht="15" customHeight="1">
      <c r="I1135" s="35"/>
      <c r="J1135" s="35"/>
      <c r="K1135" s="35"/>
    </row>
    <row r="1136" spans="9:11" ht="15" customHeight="1">
      <c r="I1136" s="35"/>
      <c r="J1136" s="35"/>
      <c r="K1136" s="35"/>
    </row>
    <row r="1137" spans="9:11" ht="15" customHeight="1">
      <c r="I1137" s="35"/>
      <c r="J1137" s="35"/>
      <c r="K1137" s="35"/>
    </row>
    <row r="1138" spans="9:11" ht="15" customHeight="1">
      <c r="I1138" s="35"/>
      <c r="J1138" s="35"/>
      <c r="K1138" s="35"/>
    </row>
    <row r="1139" spans="9:11" ht="15" customHeight="1">
      <c r="I1139" s="35"/>
      <c r="J1139" s="35"/>
      <c r="K1139" s="35"/>
    </row>
    <row r="1140" spans="9:11" ht="15" customHeight="1">
      <c r="I1140" s="35"/>
      <c r="J1140" s="35"/>
      <c r="K1140" s="35"/>
    </row>
    <row r="1141" spans="9:11" ht="15" customHeight="1">
      <c r="I1141" s="35"/>
      <c r="J1141" s="35"/>
      <c r="K1141" s="35"/>
    </row>
    <row r="1142" spans="9:11" ht="15" customHeight="1">
      <c r="I1142" s="35"/>
      <c r="J1142" s="35"/>
      <c r="K1142" s="35"/>
    </row>
    <row r="1143" spans="9:11" ht="15" customHeight="1">
      <c r="I1143" s="35"/>
      <c r="J1143" s="35"/>
      <c r="K1143" s="35"/>
    </row>
    <row r="1144" spans="9:11" ht="15" customHeight="1">
      <c r="I1144" s="35"/>
      <c r="J1144" s="35"/>
      <c r="K1144" s="35"/>
    </row>
    <row r="1145" spans="9:11" ht="15" customHeight="1">
      <c r="I1145" s="35"/>
      <c r="J1145" s="35"/>
      <c r="K1145" s="35"/>
    </row>
    <row r="1146" spans="9:11" ht="15" customHeight="1">
      <c r="I1146" s="35"/>
      <c r="J1146" s="35"/>
      <c r="K1146" s="35"/>
    </row>
    <row r="1147" spans="9:11" ht="15" customHeight="1">
      <c r="I1147" s="35"/>
      <c r="J1147" s="35"/>
      <c r="K1147" s="35"/>
    </row>
    <row r="1148" spans="9:11" ht="15" customHeight="1">
      <c r="I1148" s="35"/>
      <c r="J1148" s="35"/>
      <c r="K1148" s="35"/>
    </row>
    <row r="1149" spans="9:11" ht="15" customHeight="1">
      <c r="I1149" s="35"/>
      <c r="J1149" s="35"/>
      <c r="K1149" s="35"/>
    </row>
    <row r="1150" spans="9:11" ht="15" customHeight="1">
      <c r="I1150" s="35"/>
      <c r="J1150" s="35"/>
      <c r="K1150" s="35"/>
    </row>
    <row r="1151" spans="9:11" ht="15" customHeight="1">
      <c r="I1151" s="35"/>
      <c r="J1151" s="35"/>
      <c r="K1151" s="35"/>
    </row>
    <row r="1152" spans="9:11" ht="15" customHeight="1">
      <c r="I1152" s="35"/>
      <c r="J1152" s="35"/>
      <c r="K1152" s="35"/>
    </row>
    <row r="1153" spans="9:11" ht="15" customHeight="1">
      <c r="I1153" s="35"/>
      <c r="J1153" s="35"/>
      <c r="K1153" s="35"/>
    </row>
    <row r="1154" spans="9:11" ht="15" customHeight="1">
      <c r="I1154" s="35"/>
      <c r="J1154" s="35"/>
      <c r="K1154" s="35"/>
    </row>
    <row r="1155" spans="9:11" ht="15" customHeight="1">
      <c r="I1155" s="35"/>
      <c r="J1155" s="35"/>
      <c r="K1155" s="35"/>
    </row>
    <row r="1156" spans="9:11" ht="15" customHeight="1">
      <c r="I1156" s="35"/>
      <c r="J1156" s="35"/>
      <c r="K1156" s="35"/>
    </row>
    <row r="1157" spans="9:11" ht="15" customHeight="1">
      <c r="I1157" s="35"/>
      <c r="J1157" s="35"/>
      <c r="K1157" s="35"/>
    </row>
    <row r="1158" spans="9:11" ht="15" customHeight="1">
      <c r="I1158" s="35"/>
      <c r="J1158" s="35"/>
      <c r="K1158" s="35"/>
    </row>
    <row r="1159" spans="9:11" ht="15" customHeight="1">
      <c r="I1159" s="35"/>
      <c r="J1159" s="35"/>
      <c r="K1159" s="35"/>
    </row>
    <row r="1160" spans="9:11" ht="15" customHeight="1">
      <c r="I1160" s="35"/>
      <c r="J1160" s="35"/>
      <c r="K1160" s="35"/>
    </row>
    <row r="1161" spans="9:11" ht="15" customHeight="1">
      <c r="I1161" s="35"/>
      <c r="J1161" s="35"/>
      <c r="K1161" s="35"/>
    </row>
    <row r="1162" spans="9:11" ht="15" customHeight="1">
      <c r="I1162" s="35"/>
      <c r="J1162" s="35"/>
      <c r="K1162" s="35"/>
    </row>
    <row r="1163" spans="9:11" ht="15" customHeight="1">
      <c r="I1163" s="35"/>
      <c r="J1163" s="35"/>
      <c r="K1163" s="35"/>
    </row>
    <row r="1164" spans="9:11" ht="15" customHeight="1">
      <c r="I1164" s="35"/>
      <c r="J1164" s="35"/>
      <c r="K1164" s="35"/>
    </row>
    <row r="1165" spans="9:11" ht="15" customHeight="1">
      <c r="I1165" s="35"/>
      <c r="J1165" s="35"/>
      <c r="K1165" s="35"/>
    </row>
    <row r="1166" spans="9:11" ht="15" customHeight="1">
      <c r="I1166" s="35"/>
      <c r="J1166" s="35"/>
      <c r="K1166" s="35"/>
    </row>
    <row r="1167" spans="9:11" ht="15" customHeight="1">
      <c r="I1167" s="35"/>
      <c r="J1167" s="35"/>
      <c r="K1167" s="35"/>
    </row>
    <row r="1168" spans="9:11" ht="15" customHeight="1">
      <c r="I1168" s="35"/>
      <c r="J1168" s="35"/>
      <c r="K1168" s="35"/>
    </row>
    <row r="1169" spans="9:11" ht="15" customHeight="1">
      <c r="I1169" s="35"/>
      <c r="J1169" s="35"/>
      <c r="K1169" s="35"/>
    </row>
    <row r="1170" spans="9:11" ht="15" customHeight="1">
      <c r="I1170" s="35"/>
      <c r="J1170" s="35"/>
      <c r="K1170" s="35"/>
    </row>
    <row r="1171" spans="9:11" ht="15" customHeight="1">
      <c r="I1171" s="35"/>
      <c r="J1171" s="35"/>
      <c r="K1171" s="35"/>
    </row>
    <row r="1172" spans="9:11" ht="15" customHeight="1">
      <c r="I1172" s="35"/>
      <c r="J1172" s="35"/>
      <c r="K1172" s="35"/>
    </row>
    <row r="1173" spans="9:11" ht="15" customHeight="1">
      <c r="I1173" s="35"/>
      <c r="J1173" s="35"/>
      <c r="K1173" s="35"/>
    </row>
    <row r="1174" spans="9:11" ht="15" customHeight="1">
      <c r="I1174" s="35"/>
      <c r="J1174" s="35"/>
      <c r="K1174" s="35"/>
    </row>
    <row r="1175" spans="9:11" ht="15" customHeight="1">
      <c r="I1175" s="35"/>
      <c r="J1175" s="35"/>
      <c r="K1175" s="35"/>
    </row>
    <row r="1176" spans="9:11" ht="15" customHeight="1">
      <c r="I1176" s="35"/>
      <c r="J1176" s="35"/>
      <c r="K1176" s="35"/>
    </row>
    <row r="1177" spans="9:11" ht="15" customHeight="1">
      <c r="I1177" s="35"/>
      <c r="J1177" s="35"/>
      <c r="K1177" s="35"/>
    </row>
    <row r="1178" spans="9:11" ht="15" customHeight="1">
      <c r="I1178" s="35"/>
      <c r="J1178" s="35"/>
      <c r="K1178" s="35"/>
    </row>
    <row r="1179" spans="9:11" ht="15" customHeight="1">
      <c r="I1179" s="35"/>
      <c r="J1179" s="35"/>
      <c r="K1179" s="35"/>
    </row>
    <row r="1180" spans="9:11" ht="15" customHeight="1">
      <c r="I1180" s="35"/>
      <c r="J1180" s="35"/>
      <c r="K1180" s="35"/>
    </row>
    <row r="1181" spans="9:11" ht="15" customHeight="1">
      <c r="I1181" s="35"/>
      <c r="J1181" s="35"/>
      <c r="K1181" s="35"/>
    </row>
    <row r="1182" spans="9:11" ht="15" customHeight="1">
      <c r="I1182" s="35"/>
      <c r="J1182" s="35"/>
      <c r="K1182" s="35"/>
    </row>
    <row r="1183" spans="9:11" ht="15" customHeight="1">
      <c r="I1183" s="35"/>
      <c r="J1183" s="35"/>
      <c r="K1183" s="35"/>
    </row>
    <row r="1184" spans="9:11" ht="15" customHeight="1">
      <c r="I1184" s="35"/>
      <c r="J1184" s="35"/>
      <c r="K1184" s="35"/>
    </row>
    <row r="1185" spans="9:11" ht="15" customHeight="1">
      <c r="I1185" s="35"/>
      <c r="J1185" s="35"/>
      <c r="K1185" s="35"/>
    </row>
    <row r="1186" spans="9:11" ht="15" customHeight="1">
      <c r="I1186" s="35"/>
      <c r="J1186" s="35"/>
      <c r="K1186" s="35"/>
    </row>
    <row r="1187" spans="9:11" ht="15" customHeight="1">
      <c r="I1187" s="35"/>
      <c r="J1187" s="35"/>
      <c r="K1187" s="35"/>
    </row>
    <row r="1188" spans="9:11" ht="15" customHeight="1">
      <c r="I1188" s="35"/>
      <c r="J1188" s="35"/>
      <c r="K1188" s="35"/>
    </row>
    <row r="1189" spans="9:11" ht="15" customHeight="1">
      <c r="I1189" s="35"/>
      <c r="J1189" s="35"/>
      <c r="K1189" s="35"/>
    </row>
    <row r="1190" spans="9:11" ht="15" customHeight="1">
      <c r="I1190" s="35"/>
      <c r="J1190" s="35"/>
      <c r="K1190" s="35"/>
    </row>
    <row r="1191" spans="9:11" ht="15" customHeight="1">
      <c r="I1191" s="35"/>
      <c r="J1191" s="35"/>
      <c r="K1191" s="35"/>
    </row>
    <row r="1192" spans="9:11" ht="15" customHeight="1">
      <c r="I1192" s="35"/>
      <c r="J1192" s="35"/>
      <c r="K1192" s="35"/>
    </row>
    <row r="1193" spans="9:11" ht="15" customHeight="1">
      <c r="I1193" s="35"/>
      <c r="J1193" s="35"/>
      <c r="K1193" s="35"/>
    </row>
    <row r="1194" spans="9:11" ht="15" customHeight="1">
      <c r="I1194" s="35"/>
      <c r="J1194" s="35"/>
      <c r="K1194" s="35"/>
    </row>
    <row r="1195" spans="9:11" ht="15" customHeight="1">
      <c r="I1195" s="35"/>
      <c r="J1195" s="35"/>
      <c r="K1195" s="35"/>
    </row>
    <row r="1196" spans="9:11" ht="15" customHeight="1">
      <c r="I1196" s="35"/>
      <c r="J1196" s="35"/>
      <c r="K1196" s="35"/>
    </row>
    <row r="1197" spans="9:11" ht="15" customHeight="1">
      <c r="I1197" s="35"/>
      <c r="J1197" s="35"/>
      <c r="K1197" s="35"/>
    </row>
    <row r="1198" spans="9:11" ht="15" customHeight="1">
      <c r="I1198" s="35"/>
      <c r="J1198" s="35"/>
      <c r="K1198" s="35"/>
    </row>
    <row r="1199" spans="9:11" ht="15" customHeight="1">
      <c r="I1199" s="35"/>
      <c r="J1199" s="35"/>
      <c r="K1199" s="35"/>
    </row>
    <row r="1200" spans="9:11" ht="15" customHeight="1">
      <c r="I1200" s="35"/>
      <c r="J1200" s="35"/>
      <c r="K1200" s="35"/>
    </row>
    <row r="1201" spans="9:11" ht="15" customHeight="1">
      <c r="I1201" s="35"/>
      <c r="J1201" s="35"/>
      <c r="K1201" s="35"/>
    </row>
    <row r="1202" spans="9:11" ht="15" customHeight="1">
      <c r="I1202" s="35"/>
      <c r="J1202" s="35"/>
      <c r="K1202" s="35"/>
    </row>
    <row r="1203" spans="9:11" ht="15" customHeight="1">
      <c r="I1203" s="35"/>
      <c r="J1203" s="35"/>
      <c r="K1203" s="35"/>
    </row>
    <row r="1204" spans="9:11" ht="15" customHeight="1">
      <c r="I1204" s="35"/>
      <c r="J1204" s="35"/>
      <c r="K1204" s="35"/>
    </row>
    <row r="1205" spans="9:11" ht="15" customHeight="1">
      <c r="I1205" s="35"/>
      <c r="J1205" s="35"/>
      <c r="K1205" s="35"/>
    </row>
    <row r="1206" spans="9:11" ht="15" customHeight="1">
      <c r="I1206" s="35"/>
      <c r="J1206" s="35"/>
      <c r="K1206" s="35"/>
    </row>
    <row r="1207" spans="9:11" ht="15" customHeight="1">
      <c r="I1207" s="35"/>
      <c r="J1207" s="35"/>
      <c r="K1207" s="35"/>
    </row>
    <row r="1208" spans="9:11" ht="15" customHeight="1">
      <c r="I1208" s="35"/>
      <c r="J1208" s="35"/>
      <c r="K1208" s="35"/>
    </row>
    <row r="1209" spans="9:11" ht="15" customHeight="1">
      <c r="I1209" s="35"/>
      <c r="J1209" s="35"/>
      <c r="K1209" s="35"/>
    </row>
    <row r="1210" spans="9:11" ht="15" customHeight="1">
      <c r="I1210" s="35"/>
      <c r="J1210" s="35"/>
      <c r="K1210" s="35"/>
    </row>
    <row r="1211" spans="9:11" ht="15" customHeight="1">
      <c r="I1211" s="35"/>
      <c r="J1211" s="35"/>
      <c r="K1211" s="35"/>
    </row>
    <row r="1212" spans="9:11" ht="15" customHeight="1">
      <c r="I1212" s="35"/>
      <c r="J1212" s="35"/>
      <c r="K1212" s="35"/>
    </row>
    <row r="1213" spans="9:11" ht="15" customHeight="1">
      <c r="I1213" s="35"/>
      <c r="J1213" s="35"/>
      <c r="K1213" s="35"/>
    </row>
    <row r="1214" spans="9:11" ht="15" customHeight="1">
      <c r="I1214" s="35"/>
      <c r="J1214" s="35"/>
      <c r="K1214" s="35"/>
    </row>
    <row r="1215" spans="9:11" ht="15" customHeight="1">
      <c r="I1215" s="35"/>
      <c r="J1215" s="35"/>
      <c r="K1215" s="35"/>
    </row>
    <row r="1216" spans="9:11" ht="15" customHeight="1">
      <c r="I1216" s="35"/>
      <c r="J1216" s="35"/>
      <c r="K1216" s="35"/>
    </row>
    <row r="1217" spans="9:11" ht="15" customHeight="1">
      <c r="I1217" s="35"/>
      <c r="J1217" s="35"/>
      <c r="K1217" s="35"/>
    </row>
    <row r="1218" spans="9:11" ht="15" customHeight="1">
      <c r="I1218" s="35"/>
      <c r="J1218" s="35"/>
      <c r="K1218" s="35"/>
    </row>
    <row r="1219" spans="9:11" ht="15" customHeight="1">
      <c r="I1219" s="35"/>
      <c r="J1219" s="35"/>
      <c r="K1219" s="35"/>
    </row>
    <row r="1220" spans="9:11" ht="15" customHeight="1">
      <c r="I1220" s="35"/>
      <c r="J1220" s="35"/>
      <c r="K1220" s="35"/>
    </row>
    <row r="1221" spans="9:11" ht="15" customHeight="1">
      <c r="I1221" s="35"/>
      <c r="J1221" s="35"/>
      <c r="K1221" s="35"/>
    </row>
    <row r="1222" spans="9:11" ht="15" customHeight="1">
      <c r="I1222" s="35"/>
      <c r="J1222" s="35"/>
      <c r="K1222" s="35"/>
    </row>
    <row r="1223" spans="9:11" ht="15" customHeight="1">
      <c r="I1223" s="35"/>
      <c r="J1223" s="35"/>
      <c r="K1223" s="35"/>
    </row>
    <row r="1224" spans="9:11" ht="15" customHeight="1">
      <c r="I1224" s="35"/>
      <c r="J1224" s="35"/>
      <c r="K1224" s="35"/>
    </row>
    <row r="1225" spans="9:11" ht="15" customHeight="1">
      <c r="I1225" s="35"/>
      <c r="J1225" s="35"/>
      <c r="K1225" s="35"/>
    </row>
    <row r="1226" spans="9:11" ht="15" customHeight="1">
      <c r="I1226" s="35"/>
      <c r="J1226" s="35"/>
      <c r="K1226" s="35"/>
    </row>
    <row r="1227" spans="9:11" ht="15" customHeight="1">
      <c r="I1227" s="35"/>
      <c r="J1227" s="35"/>
      <c r="K1227" s="35"/>
    </row>
    <row r="1228" spans="9:11" ht="15" customHeight="1">
      <c r="I1228" s="35"/>
      <c r="J1228" s="35"/>
      <c r="K1228" s="35"/>
    </row>
    <row r="1229" spans="9:11" ht="15" customHeight="1">
      <c r="I1229" s="35"/>
      <c r="J1229" s="35"/>
      <c r="K1229" s="35"/>
    </row>
    <row r="1230" spans="9:11" ht="15" customHeight="1">
      <c r="I1230" s="35"/>
      <c r="J1230" s="35"/>
      <c r="K1230" s="35"/>
    </row>
    <row r="1231" spans="9:11" ht="15" customHeight="1">
      <c r="I1231" s="35"/>
      <c r="J1231" s="35"/>
      <c r="K1231" s="35"/>
    </row>
    <row r="1232" spans="9:11" ht="15" customHeight="1">
      <c r="I1232" s="35"/>
      <c r="J1232" s="35"/>
      <c r="K1232" s="35"/>
    </row>
    <row r="1233" spans="9:11" ht="15" customHeight="1">
      <c r="I1233" s="35"/>
      <c r="J1233" s="35"/>
      <c r="K1233" s="35"/>
    </row>
    <row r="1234" spans="9:11" ht="15" customHeight="1">
      <c r="I1234" s="35"/>
      <c r="J1234" s="35"/>
      <c r="K1234" s="35"/>
    </row>
    <row r="1235" spans="9:11" ht="15" customHeight="1">
      <c r="I1235" s="35"/>
      <c r="J1235" s="35"/>
      <c r="K1235" s="35"/>
    </row>
    <row r="1236" spans="9:11" ht="15" customHeight="1">
      <c r="I1236" s="35"/>
      <c r="J1236" s="35"/>
      <c r="K1236" s="35"/>
    </row>
    <row r="1237" spans="9:11" ht="15" customHeight="1">
      <c r="I1237" s="35"/>
      <c r="J1237" s="35"/>
      <c r="K1237" s="35"/>
    </row>
    <row r="1238" spans="9:11" ht="15" customHeight="1">
      <c r="I1238" s="35"/>
      <c r="J1238" s="35"/>
      <c r="K1238" s="35"/>
    </row>
    <row r="1239" spans="9:11" ht="15" customHeight="1">
      <c r="I1239" s="35"/>
      <c r="J1239" s="35"/>
      <c r="K1239" s="35"/>
    </row>
    <row r="1240" spans="9:11" ht="15" customHeight="1">
      <c r="I1240" s="35"/>
      <c r="J1240" s="35"/>
      <c r="K1240" s="35"/>
    </row>
    <row r="1241" spans="9:11" ht="15" customHeight="1">
      <c r="I1241" s="35"/>
      <c r="J1241" s="35"/>
      <c r="K1241" s="35"/>
    </row>
    <row r="1242" spans="9:11" ht="15" customHeight="1">
      <c r="I1242" s="35"/>
      <c r="J1242" s="35"/>
      <c r="K1242" s="35"/>
    </row>
    <row r="1243" spans="9:11" ht="15" customHeight="1">
      <c r="I1243" s="35"/>
      <c r="J1243" s="35"/>
      <c r="K1243" s="35"/>
    </row>
    <row r="1244" spans="9:11" ht="15" customHeight="1">
      <c r="I1244" s="35"/>
      <c r="J1244" s="35"/>
      <c r="K1244" s="35"/>
    </row>
    <row r="1245" spans="9:11" ht="15" customHeight="1">
      <c r="I1245" s="35"/>
      <c r="J1245" s="35"/>
      <c r="K1245" s="35"/>
    </row>
    <row r="1246" spans="9:11" ht="15" customHeight="1">
      <c r="I1246" s="35"/>
      <c r="J1246" s="35"/>
      <c r="K1246" s="35"/>
    </row>
    <row r="1247" spans="9:11" ht="15" customHeight="1">
      <c r="I1247" s="35"/>
      <c r="J1247" s="35"/>
      <c r="K1247" s="35"/>
    </row>
    <row r="1248" spans="9:11" ht="15" customHeight="1">
      <c r="I1248" s="35"/>
      <c r="J1248" s="35"/>
      <c r="K1248" s="35"/>
    </row>
    <row r="1249" spans="9:11" ht="15" customHeight="1">
      <c r="I1249" s="35"/>
      <c r="J1249" s="35"/>
      <c r="K1249" s="35"/>
    </row>
    <row r="1250" spans="9:11" ht="15" customHeight="1">
      <c r="I1250" s="35"/>
      <c r="J1250" s="35"/>
      <c r="K1250" s="35"/>
    </row>
    <row r="1251" spans="9:11" ht="15" customHeight="1">
      <c r="I1251" s="35"/>
      <c r="J1251" s="35"/>
      <c r="K1251" s="35"/>
    </row>
    <row r="1252" spans="9:11" ht="15" customHeight="1">
      <c r="I1252" s="35"/>
      <c r="J1252" s="35"/>
      <c r="K1252" s="35"/>
    </row>
    <row r="1253" spans="9:11" ht="15" customHeight="1">
      <c r="I1253" s="35"/>
      <c r="J1253" s="35"/>
      <c r="K1253" s="35"/>
    </row>
    <row r="1254" spans="9:11" ht="15" customHeight="1">
      <c r="I1254" s="35"/>
      <c r="J1254" s="35"/>
      <c r="K1254" s="35"/>
    </row>
    <row r="1255" spans="9:11" ht="15" customHeight="1">
      <c r="I1255" s="35"/>
      <c r="J1255" s="35"/>
      <c r="K1255" s="35"/>
    </row>
    <row r="1256" spans="9:11" ht="15" customHeight="1">
      <c r="I1256" s="35"/>
      <c r="J1256" s="35"/>
      <c r="K1256" s="35"/>
    </row>
    <row r="1257" spans="9:11" ht="15" customHeight="1">
      <c r="I1257" s="35"/>
      <c r="J1257" s="35"/>
      <c r="K1257" s="35"/>
    </row>
    <row r="1258" spans="9:11" ht="15" customHeight="1">
      <c r="I1258" s="35"/>
      <c r="J1258" s="35"/>
      <c r="K1258" s="35"/>
    </row>
    <row r="1259" spans="9:11" ht="15" customHeight="1">
      <c r="I1259" s="35"/>
      <c r="J1259" s="35"/>
      <c r="K1259" s="35"/>
    </row>
    <row r="1260" spans="9:11" ht="15" customHeight="1">
      <c r="I1260" s="35"/>
      <c r="J1260" s="35"/>
      <c r="K1260" s="35"/>
    </row>
    <row r="1261" spans="9:11" ht="15" customHeight="1">
      <c r="I1261" s="35"/>
      <c r="J1261" s="35"/>
      <c r="K1261" s="35"/>
    </row>
    <row r="1262" spans="9:11" ht="15" customHeight="1">
      <c r="I1262" s="35"/>
      <c r="J1262" s="35"/>
      <c r="K1262" s="35"/>
    </row>
    <row r="1263" spans="9:11" ht="15" customHeight="1">
      <c r="I1263" s="35"/>
      <c r="J1263" s="35"/>
      <c r="K1263" s="35"/>
    </row>
    <row r="1264" spans="9:11" ht="15" customHeight="1">
      <c r="I1264" s="35"/>
      <c r="J1264" s="35"/>
      <c r="K1264" s="35"/>
    </row>
    <row r="1265" spans="9:11" ht="15" customHeight="1">
      <c r="I1265" s="35"/>
      <c r="J1265" s="35"/>
      <c r="K1265" s="35"/>
    </row>
    <row r="1266" spans="9:11" ht="15" customHeight="1">
      <c r="I1266" s="35"/>
      <c r="J1266" s="35"/>
      <c r="K1266" s="35"/>
    </row>
    <row r="1267" spans="9:11" ht="15" customHeight="1">
      <c r="I1267" s="35"/>
      <c r="J1267" s="35"/>
      <c r="K1267" s="35"/>
    </row>
    <row r="1268" spans="9:11" ht="15" customHeight="1">
      <c r="I1268" s="35"/>
      <c r="J1268" s="35"/>
      <c r="K1268" s="35"/>
    </row>
    <row r="1269" spans="9:11" ht="15" customHeight="1">
      <c r="I1269" s="35"/>
      <c r="J1269" s="35"/>
      <c r="K1269" s="35"/>
    </row>
    <row r="1270" spans="9:11" ht="15" customHeight="1">
      <c r="I1270" s="35"/>
      <c r="J1270" s="35"/>
      <c r="K1270" s="35"/>
    </row>
    <row r="1271" spans="9:11" ht="15" customHeight="1">
      <c r="I1271" s="35"/>
      <c r="J1271" s="35"/>
      <c r="K1271" s="35"/>
    </row>
    <row r="1272" spans="9:11" ht="15" customHeight="1">
      <c r="I1272" s="35"/>
      <c r="J1272" s="35"/>
      <c r="K1272" s="35"/>
    </row>
    <row r="1273" spans="9:11" ht="15" customHeight="1">
      <c r="I1273" s="35"/>
      <c r="J1273" s="35"/>
      <c r="K1273" s="35"/>
    </row>
    <row r="1274" spans="9:11" ht="15" customHeight="1">
      <c r="I1274" s="35"/>
      <c r="J1274" s="35"/>
      <c r="K1274" s="35"/>
    </row>
    <row r="1275" spans="9:11" ht="15" customHeight="1">
      <c r="I1275" s="35"/>
      <c r="J1275" s="35"/>
      <c r="K1275" s="35"/>
    </row>
    <row r="1276" spans="9:11" ht="15" customHeight="1">
      <c r="I1276" s="35"/>
      <c r="J1276" s="35"/>
      <c r="K1276" s="35"/>
    </row>
    <row r="1277" spans="9:11" ht="15" customHeight="1">
      <c r="I1277" s="35"/>
      <c r="J1277" s="35"/>
      <c r="K1277" s="35"/>
    </row>
    <row r="1278" spans="9:11" ht="15" customHeight="1">
      <c r="I1278" s="35"/>
      <c r="J1278" s="35"/>
      <c r="K1278" s="35"/>
    </row>
    <row r="1279" spans="9:11" ht="15" customHeight="1">
      <c r="I1279" s="35"/>
      <c r="J1279" s="35"/>
      <c r="K1279" s="35"/>
    </row>
    <row r="1280" spans="9:11" ht="15" customHeight="1">
      <c r="I1280" s="35"/>
      <c r="J1280" s="35"/>
      <c r="K1280" s="35"/>
    </row>
    <row r="1281" spans="9:11" ht="15" customHeight="1">
      <c r="I1281" s="35"/>
      <c r="J1281" s="35"/>
      <c r="K1281" s="35"/>
    </row>
    <row r="1282" spans="9:11" ht="15" customHeight="1">
      <c r="I1282" s="35"/>
      <c r="J1282" s="35"/>
      <c r="K1282" s="35"/>
    </row>
    <row r="1283" spans="9:11" ht="15" customHeight="1">
      <c r="I1283" s="35"/>
      <c r="J1283" s="35"/>
      <c r="K1283" s="35"/>
    </row>
    <row r="1284" spans="9:11" ht="15" customHeight="1">
      <c r="I1284" s="35"/>
      <c r="J1284" s="35"/>
      <c r="K1284" s="35"/>
    </row>
    <row r="1285" spans="9:11" ht="15" customHeight="1">
      <c r="I1285" s="35"/>
      <c r="J1285" s="35"/>
      <c r="K1285" s="35"/>
    </row>
    <row r="1286" spans="9:11" ht="15" customHeight="1">
      <c r="I1286" s="35"/>
      <c r="J1286" s="35"/>
      <c r="K1286" s="35"/>
    </row>
    <row r="1287" spans="9:11" ht="15" customHeight="1">
      <c r="I1287" s="35"/>
      <c r="J1287" s="35"/>
      <c r="K1287" s="35"/>
    </row>
    <row r="1288" spans="9:11" ht="15" customHeight="1">
      <c r="I1288" s="35"/>
      <c r="J1288" s="35"/>
      <c r="K1288" s="35"/>
    </row>
    <row r="1289" spans="9:11" ht="15" customHeight="1">
      <c r="I1289" s="35"/>
      <c r="J1289" s="35"/>
      <c r="K1289" s="35"/>
    </row>
    <row r="1290" spans="9:11" ht="15" customHeight="1">
      <c r="I1290" s="35"/>
      <c r="J1290" s="35"/>
      <c r="K1290" s="35"/>
    </row>
    <row r="1291" spans="9:11" ht="15" customHeight="1">
      <c r="I1291" s="35"/>
      <c r="J1291" s="35"/>
      <c r="K1291" s="35"/>
    </row>
    <row r="1292" spans="9:11" ht="15" customHeight="1">
      <c r="I1292" s="35"/>
      <c r="J1292" s="35"/>
      <c r="K1292" s="35"/>
    </row>
    <row r="1293" spans="9:11" ht="15" customHeight="1">
      <c r="I1293" s="35"/>
      <c r="J1293" s="35"/>
      <c r="K1293" s="35"/>
    </row>
    <row r="1294" spans="9:11" ht="15" customHeight="1">
      <c r="I1294" s="35"/>
      <c r="J1294" s="35"/>
      <c r="K1294" s="35"/>
    </row>
    <row r="1295" spans="9:11" ht="15" customHeight="1">
      <c r="I1295" s="35"/>
      <c r="J1295" s="35"/>
      <c r="K1295" s="35"/>
    </row>
    <row r="1296" spans="9:11" ht="15" customHeight="1">
      <c r="I1296" s="35"/>
      <c r="J1296" s="35"/>
      <c r="K1296" s="35"/>
    </row>
    <row r="1297" spans="9:11" ht="15" customHeight="1">
      <c r="I1297" s="35"/>
      <c r="J1297" s="35"/>
      <c r="K1297" s="35"/>
    </row>
    <row r="1298" spans="9:11" ht="15" customHeight="1">
      <c r="I1298" s="35"/>
      <c r="J1298" s="35"/>
      <c r="K1298" s="35"/>
    </row>
    <row r="1299" spans="9:11" ht="15" customHeight="1">
      <c r="I1299" s="35"/>
      <c r="J1299" s="35"/>
      <c r="K1299" s="35"/>
    </row>
    <row r="1300" spans="9:11" ht="15" customHeight="1">
      <c r="I1300" s="35"/>
      <c r="J1300" s="35"/>
      <c r="K1300" s="35"/>
    </row>
    <row r="1301" spans="9:11" ht="15" customHeight="1">
      <c r="I1301" s="35"/>
      <c r="J1301" s="35"/>
      <c r="K1301" s="35"/>
    </row>
    <row r="1302" spans="9:11" ht="15" customHeight="1">
      <c r="I1302" s="35"/>
      <c r="J1302" s="35"/>
      <c r="K1302" s="35"/>
    </row>
    <row r="1303" spans="9:11" ht="15" customHeight="1">
      <c r="I1303" s="35"/>
      <c r="J1303" s="35"/>
      <c r="K1303" s="35"/>
    </row>
    <row r="1304" spans="9:11" ht="15" customHeight="1">
      <c r="I1304" s="35"/>
      <c r="J1304" s="35"/>
      <c r="K1304" s="35"/>
    </row>
    <row r="1305" spans="9:11" ht="15" customHeight="1">
      <c r="I1305" s="35"/>
      <c r="J1305" s="35"/>
      <c r="K1305" s="35"/>
    </row>
    <row r="1306" spans="9:11" ht="15" customHeight="1">
      <c r="I1306" s="35"/>
      <c r="J1306" s="35"/>
      <c r="K1306" s="35"/>
    </row>
    <row r="1307" spans="9:11" ht="15" customHeight="1">
      <c r="I1307" s="35"/>
      <c r="J1307" s="35"/>
      <c r="K1307" s="35"/>
    </row>
    <row r="1308" spans="9:11" ht="15" customHeight="1">
      <c r="I1308" s="35"/>
      <c r="J1308" s="35"/>
      <c r="K1308" s="35"/>
    </row>
    <row r="1309" spans="9:11" ht="15" customHeight="1">
      <c r="I1309" s="35"/>
      <c r="J1309" s="35"/>
      <c r="K1309" s="35"/>
    </row>
    <row r="1310" spans="9:11" ht="15" customHeight="1">
      <c r="I1310" s="35"/>
      <c r="J1310" s="35"/>
      <c r="K1310" s="35"/>
    </row>
    <row r="1311" spans="9:11" ht="15" customHeight="1">
      <c r="I1311" s="35"/>
      <c r="J1311" s="35"/>
      <c r="K1311" s="35"/>
    </row>
    <row r="1312" spans="9:11" ht="15" customHeight="1">
      <c r="I1312" s="35"/>
      <c r="J1312" s="35"/>
      <c r="K1312" s="35"/>
    </row>
    <row r="1313" spans="9:11" ht="15" customHeight="1">
      <c r="I1313" s="35"/>
      <c r="J1313" s="35"/>
      <c r="K1313" s="35"/>
    </row>
    <row r="1314" spans="9:11" ht="15" customHeight="1">
      <c r="I1314" s="35"/>
      <c r="J1314" s="35"/>
      <c r="K1314" s="35"/>
    </row>
    <row r="1315" spans="9:11" ht="15" customHeight="1">
      <c r="I1315" s="35"/>
      <c r="J1315" s="35"/>
      <c r="K1315" s="35"/>
    </row>
    <row r="1316" spans="9:11" ht="15" customHeight="1">
      <c r="I1316" s="35"/>
      <c r="J1316" s="35"/>
      <c r="K1316" s="35"/>
    </row>
    <row r="1317" spans="9:11" ht="15" customHeight="1">
      <c r="I1317" s="35"/>
      <c r="J1317" s="35"/>
      <c r="K1317" s="35"/>
    </row>
    <row r="1318" spans="9:11" ht="15" customHeight="1">
      <c r="I1318" s="35"/>
      <c r="J1318" s="35"/>
      <c r="K1318" s="35"/>
    </row>
    <row r="1319" spans="9:11" ht="15" customHeight="1">
      <c r="I1319" s="35"/>
      <c r="J1319" s="35"/>
      <c r="K1319" s="35"/>
    </row>
    <row r="1320" spans="9:11" ht="15" customHeight="1">
      <c r="I1320" s="35"/>
      <c r="J1320" s="35"/>
      <c r="K1320" s="35"/>
    </row>
    <row r="1321" spans="9:11" ht="15" customHeight="1">
      <c r="I1321" s="35"/>
      <c r="J1321" s="35"/>
      <c r="K1321" s="35"/>
    </row>
    <row r="1322" spans="9:11" ht="15" customHeight="1">
      <c r="I1322" s="35"/>
      <c r="J1322" s="35"/>
      <c r="K1322" s="35"/>
    </row>
    <row r="1323" spans="9:11" ht="15" customHeight="1">
      <c r="I1323" s="35"/>
      <c r="J1323" s="35"/>
      <c r="K1323" s="35"/>
    </row>
    <row r="1324" spans="9:11" ht="15" customHeight="1">
      <c r="I1324" s="35"/>
      <c r="J1324" s="35"/>
      <c r="K1324" s="35"/>
    </row>
    <row r="1325" spans="9:11" ht="15" customHeight="1">
      <c r="I1325" s="35"/>
      <c r="J1325" s="35"/>
      <c r="K1325" s="35"/>
    </row>
    <row r="1326" spans="9:11" ht="15" customHeight="1">
      <c r="I1326" s="35"/>
      <c r="J1326" s="35"/>
      <c r="K1326" s="35"/>
    </row>
    <row r="1327" spans="9:11" ht="15" customHeight="1">
      <c r="I1327" s="35"/>
      <c r="J1327" s="35"/>
      <c r="K1327" s="35"/>
    </row>
    <row r="1328" spans="9:11" ht="15" customHeight="1">
      <c r="I1328" s="35"/>
      <c r="J1328" s="35"/>
      <c r="K1328" s="35"/>
    </row>
    <row r="1329" spans="9:11" ht="15" customHeight="1">
      <c r="I1329" s="35"/>
      <c r="J1329" s="35"/>
      <c r="K1329" s="35"/>
    </row>
    <row r="1330" spans="9:11" ht="15" customHeight="1">
      <c r="I1330" s="35"/>
      <c r="J1330" s="35"/>
      <c r="K1330" s="35"/>
    </row>
    <row r="1331" spans="9:11" ht="15" customHeight="1">
      <c r="I1331" s="35"/>
      <c r="J1331" s="35"/>
      <c r="K1331" s="35"/>
    </row>
    <row r="1332" spans="9:11" ht="15" customHeight="1">
      <c r="I1332" s="35"/>
      <c r="J1332" s="35"/>
      <c r="K1332" s="35"/>
    </row>
    <row r="1333" spans="9:11" ht="15" customHeight="1">
      <c r="I1333" s="35"/>
      <c r="J1333" s="35"/>
      <c r="K1333" s="35"/>
    </row>
    <row r="1334" spans="9:11" ht="15" customHeight="1">
      <c r="I1334" s="35"/>
      <c r="J1334" s="35"/>
      <c r="K1334" s="35"/>
    </row>
    <row r="1335" spans="9:11" ht="15" customHeight="1">
      <c r="I1335" s="35"/>
      <c r="J1335" s="35"/>
      <c r="K1335" s="35"/>
    </row>
    <row r="1336" spans="9:11" ht="15" customHeight="1">
      <c r="I1336" s="35"/>
      <c r="J1336" s="35"/>
      <c r="K1336" s="35"/>
    </row>
    <row r="1337" spans="9:11" ht="15" customHeight="1">
      <c r="I1337" s="35"/>
      <c r="J1337" s="35"/>
      <c r="K1337" s="35"/>
    </row>
    <row r="1338" spans="9:11" ht="15" customHeight="1">
      <c r="I1338" s="35"/>
      <c r="J1338" s="35"/>
      <c r="K1338" s="35"/>
    </row>
    <row r="1339" spans="9:11" ht="15" customHeight="1">
      <c r="I1339" s="35"/>
      <c r="J1339" s="35"/>
      <c r="K1339" s="35"/>
    </row>
    <row r="1340" spans="9:11" ht="15" customHeight="1">
      <c r="I1340" s="35"/>
      <c r="J1340" s="35"/>
      <c r="K1340" s="35"/>
    </row>
    <row r="1341" spans="9:11" ht="15" customHeight="1">
      <c r="I1341" s="35"/>
      <c r="J1341" s="35"/>
      <c r="K1341" s="35"/>
    </row>
    <row r="1342" spans="9:11" ht="15" customHeight="1">
      <c r="I1342" s="35"/>
      <c r="J1342" s="35"/>
      <c r="K1342" s="35"/>
    </row>
    <row r="1343" spans="9:11" ht="15" customHeight="1">
      <c r="I1343" s="35"/>
      <c r="J1343" s="35"/>
      <c r="K1343" s="35"/>
    </row>
    <row r="1344" spans="9:11" ht="15" customHeight="1">
      <c r="I1344" s="35"/>
      <c r="J1344" s="35"/>
      <c r="K1344" s="35"/>
    </row>
    <row r="1345" spans="9:11" ht="15" customHeight="1">
      <c r="I1345" s="35"/>
      <c r="J1345" s="35"/>
      <c r="K1345" s="35"/>
    </row>
    <row r="1346" spans="9:11" ht="15" customHeight="1">
      <c r="I1346" s="35"/>
      <c r="J1346" s="35"/>
      <c r="K1346" s="35"/>
    </row>
    <row r="1347" spans="9:11" ht="15" customHeight="1">
      <c r="I1347" s="35"/>
      <c r="J1347" s="35"/>
      <c r="K1347" s="35"/>
    </row>
    <row r="1348" spans="9:11" ht="15" customHeight="1">
      <c r="I1348" s="35"/>
      <c r="J1348" s="35"/>
      <c r="K1348" s="35"/>
    </row>
    <row r="1349" spans="9:11" ht="15" customHeight="1">
      <c r="I1349" s="35"/>
      <c r="J1349" s="35"/>
      <c r="K1349" s="35"/>
    </row>
    <row r="1350" spans="9:11" ht="15" customHeight="1">
      <c r="I1350" s="35"/>
      <c r="J1350" s="35"/>
      <c r="K1350" s="35"/>
    </row>
    <row r="1351" spans="9:11" ht="15" customHeight="1">
      <c r="I1351" s="35"/>
      <c r="J1351" s="35"/>
      <c r="K1351" s="35"/>
    </row>
    <row r="1352" spans="9:11" ht="15" customHeight="1">
      <c r="I1352" s="35"/>
      <c r="J1352" s="35"/>
      <c r="K1352" s="35"/>
    </row>
    <row r="1353" spans="9:11" ht="15" customHeight="1">
      <c r="I1353" s="35"/>
      <c r="J1353" s="35"/>
      <c r="K1353" s="35"/>
    </row>
    <row r="1354" spans="9:11" ht="15" customHeight="1">
      <c r="I1354" s="35"/>
      <c r="J1354" s="35"/>
      <c r="K1354" s="35"/>
    </row>
    <row r="1355" spans="9:11" ht="15" customHeight="1">
      <c r="I1355" s="35"/>
      <c r="J1355" s="35"/>
      <c r="K1355" s="35"/>
    </row>
    <row r="1356" spans="9:11" ht="15" customHeight="1">
      <c r="I1356" s="35"/>
      <c r="J1356" s="35"/>
      <c r="K1356" s="35"/>
    </row>
    <row r="1357" spans="9:11" ht="15" customHeight="1">
      <c r="I1357" s="35"/>
      <c r="J1357" s="35"/>
      <c r="K1357" s="35"/>
    </row>
    <row r="1358" spans="9:11" ht="15" customHeight="1">
      <c r="I1358" s="35"/>
      <c r="J1358" s="35"/>
      <c r="K1358" s="35"/>
    </row>
    <row r="1359" spans="9:11" ht="15" customHeight="1">
      <c r="I1359" s="35"/>
      <c r="J1359" s="35"/>
      <c r="K1359" s="35"/>
    </row>
    <row r="1360" spans="9:11" ht="15" customHeight="1">
      <c r="I1360" s="35"/>
      <c r="J1360" s="35"/>
      <c r="K1360" s="35"/>
    </row>
    <row r="1361" spans="9:11" ht="15" customHeight="1">
      <c r="I1361" s="35"/>
      <c r="J1361" s="35"/>
      <c r="K1361" s="35"/>
    </row>
    <row r="1362" spans="9:11" ht="15" customHeight="1">
      <c r="I1362" s="35"/>
      <c r="J1362" s="35"/>
      <c r="K1362" s="35"/>
    </row>
    <row r="1363" spans="9:11" ht="15" customHeight="1">
      <c r="I1363" s="35"/>
      <c r="J1363" s="35"/>
      <c r="K1363" s="35"/>
    </row>
    <row r="1364" spans="9:11" ht="15" customHeight="1">
      <c r="I1364" s="35"/>
      <c r="J1364" s="35"/>
      <c r="K1364" s="35"/>
    </row>
    <row r="1365" spans="9:11" ht="15" customHeight="1">
      <c r="I1365" s="35"/>
      <c r="J1365" s="35"/>
      <c r="K1365" s="35"/>
    </row>
    <row r="1366" spans="9:11" ht="15" customHeight="1">
      <c r="I1366" s="35"/>
      <c r="J1366" s="35"/>
      <c r="K1366" s="35"/>
    </row>
    <row r="1367" spans="9:11" ht="15" customHeight="1">
      <c r="I1367" s="35"/>
      <c r="J1367" s="35"/>
      <c r="K1367" s="35"/>
    </row>
    <row r="1368" spans="9:11" ht="15" customHeight="1">
      <c r="I1368" s="35"/>
      <c r="J1368" s="35"/>
      <c r="K1368" s="35"/>
    </row>
    <row r="1369" spans="9:11" ht="15" customHeight="1">
      <c r="I1369" s="35"/>
      <c r="J1369" s="35"/>
      <c r="K1369" s="35"/>
    </row>
    <row r="1370" spans="9:11" ht="15" customHeight="1">
      <c r="I1370" s="35"/>
      <c r="J1370" s="35"/>
      <c r="K1370" s="35"/>
    </row>
    <row r="1371" spans="9:11" ht="15" customHeight="1">
      <c r="I1371" s="35"/>
      <c r="J1371" s="35"/>
      <c r="K1371" s="35"/>
    </row>
    <row r="1372" spans="9:11" ht="15" customHeight="1">
      <c r="I1372" s="35"/>
      <c r="J1372" s="35"/>
      <c r="K1372" s="35"/>
    </row>
    <row r="1373" spans="9:11" ht="15" customHeight="1">
      <c r="I1373" s="35"/>
      <c r="J1373" s="35"/>
      <c r="K1373" s="35"/>
    </row>
    <row r="1374" spans="9:11" ht="15" customHeight="1">
      <c r="I1374" s="35"/>
      <c r="J1374" s="35"/>
      <c r="K1374" s="35"/>
    </row>
    <row r="1375" spans="9:11" ht="15" customHeight="1">
      <c r="I1375" s="35"/>
      <c r="J1375" s="35"/>
      <c r="K1375" s="35"/>
    </row>
    <row r="1376" spans="9:11" ht="15" customHeight="1">
      <c r="I1376" s="35"/>
      <c r="J1376" s="35"/>
      <c r="K1376" s="35"/>
    </row>
    <row r="1377" spans="9:11" ht="15" customHeight="1">
      <c r="I1377" s="35"/>
      <c r="J1377" s="35"/>
      <c r="K1377" s="35"/>
    </row>
    <row r="1378" spans="9:11" ht="15" customHeight="1">
      <c r="I1378" s="35"/>
      <c r="J1378" s="35"/>
      <c r="K1378" s="35"/>
    </row>
    <row r="1379" spans="9:11" ht="15" customHeight="1">
      <c r="I1379" s="35"/>
      <c r="J1379" s="35"/>
      <c r="K1379" s="35"/>
    </row>
    <row r="1380" spans="9:11" ht="15" customHeight="1">
      <c r="I1380" s="35"/>
      <c r="J1380" s="35"/>
      <c r="K1380" s="35"/>
    </row>
    <row r="1381" spans="9:11" ht="15" customHeight="1">
      <c r="I1381" s="35"/>
      <c r="J1381" s="35"/>
      <c r="K1381" s="35"/>
    </row>
    <row r="1382" spans="9:11" ht="15" customHeight="1">
      <c r="I1382" s="35"/>
      <c r="J1382" s="35"/>
      <c r="K1382" s="35"/>
    </row>
    <row r="1383" spans="9:11" ht="15" customHeight="1">
      <c r="I1383" s="35"/>
      <c r="J1383" s="35"/>
      <c r="K1383" s="35"/>
    </row>
    <row r="1384" spans="9:11" ht="15" customHeight="1">
      <c r="I1384" s="35"/>
      <c r="J1384" s="35"/>
      <c r="K1384" s="35"/>
    </row>
    <row r="1385" spans="9:11" ht="15" customHeight="1">
      <c r="I1385" s="35"/>
      <c r="J1385" s="35"/>
      <c r="K1385" s="35"/>
    </row>
    <row r="1386" spans="9:11" ht="15" customHeight="1">
      <c r="I1386" s="35"/>
      <c r="J1386" s="35"/>
      <c r="K1386" s="35"/>
    </row>
    <row r="1387" spans="9:11" ht="15" customHeight="1">
      <c r="I1387" s="35"/>
      <c r="J1387" s="35"/>
      <c r="K1387" s="35"/>
    </row>
    <row r="1388" spans="9:11" ht="15" customHeight="1">
      <c r="I1388" s="35"/>
      <c r="J1388" s="35"/>
      <c r="K1388" s="35"/>
    </row>
    <row r="1389" spans="9:11" ht="15" customHeight="1">
      <c r="I1389" s="35"/>
      <c r="J1389" s="35"/>
      <c r="K1389" s="35"/>
    </row>
    <row r="1390" spans="9:11" ht="15" customHeight="1">
      <c r="I1390" s="35"/>
      <c r="J1390" s="35"/>
      <c r="K1390" s="35"/>
    </row>
    <row r="1391" spans="9:11" ht="15" customHeight="1">
      <c r="I1391" s="35"/>
      <c r="J1391" s="35"/>
      <c r="K1391" s="35"/>
    </row>
    <row r="1392" spans="9:11" ht="15" customHeight="1">
      <c r="I1392" s="35"/>
      <c r="J1392" s="35"/>
      <c r="K1392" s="35"/>
    </row>
    <row r="1393" spans="9:11" ht="15" customHeight="1">
      <c r="I1393" s="35"/>
      <c r="J1393" s="35"/>
      <c r="K1393" s="35"/>
    </row>
    <row r="1394" spans="9:11" ht="15" customHeight="1">
      <c r="I1394" s="35"/>
      <c r="J1394" s="35"/>
      <c r="K1394" s="35"/>
    </row>
    <row r="1395" spans="9:11" ht="15" customHeight="1">
      <c r="I1395" s="35"/>
      <c r="J1395" s="35"/>
      <c r="K1395" s="35"/>
    </row>
    <row r="1396" spans="9:11" ht="15" customHeight="1">
      <c r="I1396" s="35"/>
      <c r="J1396" s="35"/>
      <c r="K1396" s="35"/>
    </row>
    <row r="1397" spans="9:11" ht="15" customHeight="1">
      <c r="I1397" s="35"/>
      <c r="J1397" s="35"/>
      <c r="K1397" s="35"/>
    </row>
    <row r="1398" spans="9:11" ht="15" customHeight="1">
      <c r="I1398" s="35"/>
      <c r="J1398" s="35"/>
      <c r="K1398" s="35"/>
    </row>
    <row r="1399" spans="9:11" ht="15" customHeight="1">
      <c r="I1399" s="35"/>
      <c r="J1399" s="35"/>
      <c r="K1399" s="35"/>
    </row>
    <row r="1400" spans="9:11" ht="15" customHeight="1">
      <c r="I1400" s="35"/>
      <c r="J1400" s="35"/>
      <c r="K1400" s="35"/>
    </row>
    <row r="1401" spans="9:11" ht="15" customHeight="1">
      <c r="I1401" s="35"/>
      <c r="J1401" s="35"/>
      <c r="K1401" s="35"/>
    </row>
    <row r="1402" spans="9:11" ht="15" customHeight="1">
      <c r="I1402" s="35"/>
      <c r="J1402" s="35"/>
      <c r="K1402" s="35"/>
    </row>
    <row r="1403" spans="9:11" ht="15" customHeight="1">
      <c r="I1403" s="35"/>
      <c r="J1403" s="35"/>
      <c r="K1403" s="35"/>
    </row>
    <row r="1404" spans="9:11" ht="15" customHeight="1">
      <c r="I1404" s="35"/>
      <c r="J1404" s="35"/>
      <c r="K1404" s="35"/>
    </row>
    <row r="1405" spans="9:11" ht="15" customHeight="1">
      <c r="I1405" s="35"/>
      <c r="J1405" s="35"/>
      <c r="K1405" s="35"/>
    </row>
    <row r="1406" spans="9:11" ht="15" customHeight="1">
      <c r="I1406" s="35"/>
      <c r="J1406" s="35"/>
      <c r="K1406" s="35"/>
    </row>
    <row r="1407" spans="9:11" ht="15" customHeight="1">
      <c r="I1407" s="35"/>
      <c r="J1407" s="35"/>
      <c r="K1407" s="35"/>
    </row>
    <row r="1408" spans="9:11" ht="15" customHeight="1">
      <c r="I1408" s="35"/>
      <c r="J1408" s="35"/>
      <c r="K1408" s="35"/>
    </row>
    <row r="1409" spans="9:11" ht="15" customHeight="1">
      <c r="I1409" s="35"/>
      <c r="J1409" s="35"/>
      <c r="K1409" s="35"/>
    </row>
    <row r="1410" spans="9:11" ht="15" customHeight="1">
      <c r="I1410" s="35"/>
      <c r="J1410" s="35"/>
      <c r="K1410" s="35"/>
    </row>
    <row r="1411" spans="9:11" ht="15" customHeight="1">
      <c r="I1411" s="35"/>
      <c r="J1411" s="35"/>
      <c r="K1411" s="35"/>
    </row>
    <row r="1412" spans="9:11" ht="15" customHeight="1">
      <c r="I1412" s="35"/>
      <c r="J1412" s="35"/>
      <c r="K1412" s="35"/>
    </row>
    <row r="1413" spans="9:11" ht="15" customHeight="1">
      <c r="I1413" s="35"/>
      <c r="J1413" s="35"/>
      <c r="K1413" s="35"/>
    </row>
    <row r="1414" spans="9:11" ht="15" customHeight="1">
      <c r="I1414" s="35"/>
      <c r="J1414" s="35"/>
      <c r="K1414" s="35"/>
    </row>
    <row r="1415" spans="9:11" ht="15" customHeight="1">
      <c r="I1415" s="35"/>
      <c r="J1415" s="35"/>
      <c r="K1415" s="35"/>
    </row>
    <row r="1416" spans="9:11" ht="15" customHeight="1">
      <c r="I1416" s="35"/>
      <c r="J1416" s="35"/>
      <c r="K1416" s="35"/>
    </row>
    <row r="1417" spans="9:11" ht="15" customHeight="1">
      <c r="I1417" s="35"/>
      <c r="J1417" s="35"/>
      <c r="K1417" s="35"/>
    </row>
    <row r="1418" spans="9:11" ht="15" customHeight="1">
      <c r="I1418" s="35"/>
      <c r="J1418" s="35"/>
      <c r="K1418" s="35"/>
    </row>
    <row r="1419" spans="9:11" ht="15" customHeight="1">
      <c r="I1419" s="35"/>
      <c r="J1419" s="35"/>
      <c r="K1419" s="35"/>
    </row>
    <row r="1420" spans="9:11" ht="15" customHeight="1">
      <c r="I1420" s="35"/>
      <c r="J1420" s="35"/>
      <c r="K1420" s="35"/>
    </row>
    <row r="1421" spans="9:11" ht="15" customHeight="1">
      <c r="I1421" s="35"/>
      <c r="J1421" s="35"/>
      <c r="K1421" s="35"/>
    </row>
    <row r="1422" spans="9:11" ht="15" customHeight="1">
      <c r="I1422" s="35"/>
      <c r="J1422" s="35"/>
      <c r="K1422" s="35"/>
    </row>
    <row r="1423" spans="9:11" ht="15" customHeight="1">
      <c r="I1423" s="35"/>
      <c r="J1423" s="35"/>
      <c r="K1423" s="35"/>
    </row>
    <row r="1424" spans="9:11" ht="15" customHeight="1">
      <c r="I1424" s="35"/>
      <c r="J1424" s="35"/>
      <c r="K1424" s="35"/>
    </row>
    <row r="1425" spans="9:11" ht="15" customHeight="1">
      <c r="I1425" s="35"/>
      <c r="J1425" s="35"/>
      <c r="K1425" s="35"/>
    </row>
    <row r="1426" spans="9:11" ht="15" customHeight="1">
      <c r="I1426" s="35"/>
      <c r="J1426" s="35"/>
      <c r="K1426" s="35"/>
    </row>
    <row r="1427" spans="9:11" ht="15" customHeight="1">
      <c r="I1427" s="35"/>
      <c r="J1427" s="35"/>
      <c r="K1427" s="35"/>
    </row>
    <row r="1428" spans="9:11" ht="15" customHeight="1">
      <c r="I1428" s="35"/>
      <c r="J1428" s="35"/>
      <c r="K1428" s="35"/>
    </row>
    <row r="1429" spans="9:11" ht="15" customHeight="1">
      <c r="I1429" s="35"/>
      <c r="J1429" s="35"/>
      <c r="K1429" s="35"/>
    </row>
    <row r="1430" spans="9:11" ht="15" customHeight="1">
      <c r="I1430" s="35"/>
      <c r="J1430" s="35"/>
      <c r="K1430" s="35"/>
    </row>
    <row r="1431" spans="9:11" ht="15" customHeight="1">
      <c r="I1431" s="35"/>
      <c r="J1431" s="35"/>
      <c r="K1431" s="35"/>
    </row>
    <row r="1432" spans="9:11" ht="15" customHeight="1">
      <c r="I1432" s="35"/>
      <c r="J1432" s="35"/>
      <c r="K1432" s="35"/>
    </row>
    <row r="1433" spans="9:11" ht="15" customHeight="1">
      <c r="I1433" s="35"/>
      <c r="J1433" s="35"/>
      <c r="K1433" s="35"/>
    </row>
    <row r="1434" spans="9:11" ht="15" customHeight="1">
      <c r="I1434" s="35"/>
      <c r="J1434" s="35"/>
      <c r="K1434" s="35"/>
    </row>
    <row r="1435" spans="9:11" ht="15" customHeight="1">
      <c r="I1435" s="35"/>
      <c r="J1435" s="35"/>
      <c r="K1435" s="35"/>
    </row>
    <row r="1436" spans="9:11" ht="15" customHeight="1">
      <c r="I1436" s="35"/>
      <c r="J1436" s="35"/>
      <c r="K1436" s="35"/>
    </row>
    <row r="1437" spans="9:11" ht="15" customHeight="1">
      <c r="I1437" s="35"/>
      <c r="J1437" s="35"/>
      <c r="K1437" s="35"/>
    </row>
    <row r="1438" spans="9:11" ht="15" customHeight="1">
      <c r="I1438" s="35"/>
      <c r="J1438" s="35"/>
      <c r="K1438" s="35"/>
    </row>
    <row r="1439" spans="9:11" ht="15" customHeight="1">
      <c r="I1439" s="35"/>
      <c r="J1439" s="35"/>
      <c r="K1439" s="35"/>
    </row>
    <row r="1440" spans="9:11" ht="15" customHeight="1">
      <c r="I1440" s="35"/>
      <c r="J1440" s="35"/>
      <c r="K1440" s="35"/>
    </row>
    <row r="1441" spans="9:11" ht="15" customHeight="1">
      <c r="I1441" s="35"/>
      <c r="J1441" s="35"/>
      <c r="K1441" s="35"/>
    </row>
    <row r="1442" spans="9:11" ht="15" customHeight="1">
      <c r="I1442" s="35"/>
      <c r="J1442" s="35"/>
      <c r="K1442" s="35"/>
    </row>
    <row r="1443" spans="9:11" ht="15" customHeight="1">
      <c r="I1443" s="35"/>
      <c r="J1443" s="35"/>
      <c r="K1443" s="35"/>
    </row>
    <row r="1444" spans="9:11" ht="15" customHeight="1">
      <c r="I1444" s="35"/>
      <c r="J1444" s="35"/>
      <c r="K1444" s="35"/>
    </row>
    <row r="1445" spans="9:11" ht="15" customHeight="1">
      <c r="I1445" s="35"/>
      <c r="J1445" s="35"/>
      <c r="K1445" s="35"/>
    </row>
    <row r="1446" spans="9:11" ht="15" customHeight="1">
      <c r="I1446" s="35"/>
      <c r="J1446" s="35"/>
      <c r="K1446" s="35"/>
    </row>
    <row r="1447" spans="9:11" ht="15" customHeight="1">
      <c r="I1447" s="35"/>
      <c r="J1447" s="35"/>
      <c r="K1447" s="35"/>
    </row>
    <row r="1448" spans="9:11" ht="15" customHeight="1">
      <c r="I1448" s="35"/>
      <c r="J1448" s="35"/>
      <c r="K1448" s="35"/>
    </row>
    <row r="1449" spans="9:11" ht="15" customHeight="1">
      <c r="I1449" s="35"/>
      <c r="J1449" s="35"/>
      <c r="K1449" s="35"/>
    </row>
    <row r="1450" spans="9:11" ht="15" customHeight="1">
      <c r="I1450" s="35"/>
      <c r="J1450" s="35"/>
      <c r="K1450" s="35"/>
    </row>
    <row r="1451" spans="9:11" ht="15" customHeight="1">
      <c r="I1451" s="35"/>
      <c r="J1451" s="35"/>
      <c r="K1451" s="35"/>
    </row>
    <row r="1452" spans="9:11" ht="15" customHeight="1">
      <c r="I1452" s="35"/>
      <c r="J1452" s="35"/>
      <c r="K1452" s="35"/>
    </row>
    <row r="1453" spans="9:11" ht="15" customHeight="1">
      <c r="I1453" s="35"/>
      <c r="J1453" s="35"/>
      <c r="K1453" s="35"/>
    </row>
    <row r="1454" spans="9:11" ht="15" customHeight="1">
      <c r="I1454" s="35"/>
      <c r="J1454" s="35"/>
      <c r="K1454" s="35"/>
    </row>
    <row r="1455" spans="9:11" ht="15" customHeight="1">
      <c r="I1455" s="35"/>
      <c r="J1455" s="35"/>
      <c r="K1455" s="35"/>
    </row>
    <row r="1456" spans="9:11" ht="15" customHeight="1">
      <c r="I1456" s="35"/>
      <c r="J1456" s="35"/>
      <c r="K1456" s="35"/>
    </row>
    <row r="1457" spans="9:11" ht="15" customHeight="1">
      <c r="I1457" s="35"/>
      <c r="J1457" s="35"/>
      <c r="K1457" s="35"/>
    </row>
    <row r="1458" spans="9:11" ht="15" customHeight="1">
      <c r="I1458" s="35"/>
      <c r="J1458" s="35"/>
      <c r="K1458" s="35"/>
    </row>
    <row r="1459" spans="9:11" ht="15" customHeight="1">
      <c r="I1459" s="35"/>
      <c r="J1459" s="35"/>
      <c r="K1459" s="35"/>
    </row>
    <row r="1460" spans="9:11" ht="15" customHeight="1">
      <c r="I1460" s="35"/>
      <c r="J1460" s="35"/>
      <c r="K1460" s="35"/>
    </row>
    <row r="1461" spans="9:11" ht="15" customHeight="1">
      <c r="I1461" s="35"/>
      <c r="J1461" s="35"/>
      <c r="K1461" s="35"/>
    </row>
    <row r="1462" spans="9:11" ht="15" customHeight="1">
      <c r="I1462" s="35"/>
      <c r="J1462" s="35"/>
      <c r="K1462" s="35"/>
    </row>
    <row r="1463" spans="9:11" ht="15" customHeight="1">
      <c r="I1463" s="35"/>
      <c r="J1463" s="35"/>
      <c r="K1463" s="35"/>
    </row>
    <row r="1464" spans="9:11" ht="15" customHeight="1">
      <c r="I1464" s="35"/>
      <c r="J1464" s="35"/>
      <c r="K1464" s="35"/>
    </row>
    <row r="1465" spans="9:11" ht="15" customHeight="1">
      <c r="I1465" s="35"/>
      <c r="J1465" s="35"/>
      <c r="K1465" s="35"/>
    </row>
    <row r="1466" spans="9:11" ht="15" customHeight="1">
      <c r="I1466" s="35"/>
      <c r="J1466" s="35"/>
      <c r="K1466" s="35"/>
    </row>
    <row r="1467" spans="9:11" ht="15" customHeight="1">
      <c r="I1467" s="35"/>
      <c r="J1467" s="35"/>
      <c r="K1467" s="35"/>
    </row>
    <row r="1468" spans="9:11" ht="15" customHeight="1">
      <c r="I1468" s="35"/>
      <c r="J1468" s="35"/>
      <c r="K1468" s="35"/>
    </row>
    <row r="1469" spans="9:11" ht="15" customHeight="1">
      <c r="I1469" s="35"/>
      <c r="J1469" s="35"/>
      <c r="K1469" s="35"/>
    </row>
    <row r="1470" spans="9:11" ht="15" customHeight="1">
      <c r="I1470" s="35"/>
      <c r="J1470" s="35"/>
      <c r="K1470" s="35"/>
    </row>
    <row r="1471" spans="9:11" ht="15" customHeight="1">
      <c r="I1471" s="35"/>
      <c r="J1471" s="35"/>
      <c r="K1471" s="35"/>
    </row>
    <row r="1472" spans="9:11" ht="15" customHeight="1">
      <c r="I1472" s="35"/>
      <c r="J1472" s="35"/>
      <c r="K1472" s="35"/>
    </row>
    <row r="1473" spans="9:11" ht="15" customHeight="1">
      <c r="I1473" s="35"/>
      <c r="J1473" s="35"/>
      <c r="K1473" s="35"/>
    </row>
    <row r="1474" spans="9:11" ht="15" customHeight="1">
      <c r="I1474" s="35"/>
      <c r="J1474" s="35"/>
      <c r="K1474" s="35"/>
    </row>
    <row r="1475" spans="9:11" ht="15" customHeight="1">
      <c r="I1475" s="35"/>
      <c r="J1475" s="35"/>
      <c r="K1475" s="35"/>
    </row>
    <row r="1476" spans="9:11" ht="15" customHeight="1">
      <c r="I1476" s="35"/>
      <c r="J1476" s="35"/>
      <c r="K1476" s="35"/>
    </row>
    <row r="1477" spans="9:11" ht="15" customHeight="1">
      <c r="I1477" s="35"/>
      <c r="J1477" s="35"/>
      <c r="K1477" s="35"/>
    </row>
    <row r="1478" spans="9:11" ht="15" customHeight="1">
      <c r="I1478" s="35"/>
      <c r="J1478" s="35"/>
      <c r="K1478" s="35"/>
    </row>
    <row r="1479" spans="9:11" ht="15" customHeight="1">
      <c r="I1479" s="35"/>
      <c r="J1479" s="35"/>
      <c r="K1479" s="35"/>
    </row>
    <row r="1480" spans="9:11" ht="15" customHeight="1">
      <c r="I1480" s="35"/>
      <c r="J1480" s="35"/>
      <c r="K1480" s="35"/>
    </row>
    <row r="1481" spans="9:11" ht="15" customHeight="1">
      <c r="I1481" s="35"/>
      <c r="J1481" s="35"/>
      <c r="K1481" s="35"/>
    </row>
    <row r="1482" spans="9:11" ht="15" customHeight="1">
      <c r="I1482" s="35"/>
      <c r="J1482" s="35"/>
      <c r="K1482" s="35"/>
    </row>
    <row r="1483" spans="9:11" ht="15" customHeight="1">
      <c r="I1483" s="35"/>
      <c r="J1483" s="35"/>
      <c r="K1483" s="35"/>
    </row>
    <row r="1484" spans="9:11" ht="15" customHeight="1">
      <c r="I1484" s="35"/>
      <c r="J1484" s="35"/>
      <c r="K1484" s="35"/>
    </row>
    <row r="1485" spans="9:11" ht="15" customHeight="1">
      <c r="I1485" s="35"/>
      <c r="J1485" s="35"/>
      <c r="K1485" s="35"/>
    </row>
    <row r="1486" spans="9:11" ht="15" customHeight="1">
      <c r="I1486" s="35"/>
      <c r="J1486" s="35"/>
      <c r="K1486" s="35"/>
    </row>
    <row r="1487" spans="9:11" ht="15" customHeight="1">
      <c r="I1487" s="35"/>
      <c r="J1487" s="35"/>
      <c r="K1487" s="35"/>
    </row>
    <row r="1488" spans="9:11" ht="15" customHeight="1">
      <c r="I1488" s="35"/>
      <c r="J1488" s="35"/>
      <c r="K1488" s="35"/>
    </row>
    <row r="1489" spans="9:11" ht="15" customHeight="1">
      <c r="I1489" s="35"/>
      <c r="J1489" s="35"/>
      <c r="K1489" s="35"/>
    </row>
    <row r="1490" spans="9:11" ht="15" customHeight="1">
      <c r="I1490" s="35"/>
      <c r="J1490" s="35"/>
      <c r="K1490" s="35"/>
    </row>
    <row r="1491" spans="9:11" ht="15" customHeight="1">
      <c r="I1491" s="35"/>
      <c r="J1491" s="35"/>
      <c r="K1491" s="35"/>
    </row>
    <row r="1492" spans="9:11" ht="15" customHeight="1">
      <c r="I1492" s="35"/>
      <c r="J1492" s="35"/>
      <c r="K1492" s="35"/>
    </row>
    <row r="1493" spans="9:11" ht="15" customHeight="1">
      <c r="I1493" s="35"/>
      <c r="J1493" s="35"/>
      <c r="K1493" s="35"/>
    </row>
    <row r="1494" spans="9:11" ht="15" customHeight="1">
      <c r="I1494" s="35"/>
      <c r="J1494" s="35"/>
      <c r="K1494" s="35"/>
    </row>
    <row r="1495" spans="9:11" ht="15" customHeight="1">
      <c r="I1495" s="35"/>
      <c r="J1495" s="35"/>
      <c r="K1495" s="35"/>
    </row>
    <row r="1496" spans="9:11" ht="15" customHeight="1">
      <c r="I1496" s="35"/>
      <c r="J1496" s="35"/>
      <c r="K1496" s="35"/>
    </row>
    <row r="1497" spans="9:11" ht="15" customHeight="1">
      <c r="I1497" s="35"/>
      <c r="J1497" s="35"/>
      <c r="K1497" s="35"/>
    </row>
    <row r="1498" spans="9:11" ht="15" customHeight="1">
      <c r="I1498" s="35"/>
      <c r="J1498" s="35"/>
      <c r="K1498" s="35"/>
    </row>
    <row r="1499" spans="9:11" ht="15" customHeight="1">
      <c r="I1499" s="35"/>
      <c r="J1499" s="35"/>
      <c r="K1499" s="35"/>
    </row>
    <row r="1500" spans="9:11" ht="15" customHeight="1">
      <c r="I1500" s="35"/>
      <c r="J1500" s="35"/>
      <c r="K1500" s="35"/>
    </row>
    <row r="1501" spans="9:11" ht="15" customHeight="1">
      <c r="I1501" s="35"/>
      <c r="J1501" s="35"/>
      <c r="K1501" s="35"/>
    </row>
    <row r="1502" spans="9:11" ht="15" customHeight="1">
      <c r="I1502" s="35"/>
      <c r="J1502" s="35"/>
      <c r="K1502" s="35"/>
    </row>
    <row r="1503" spans="9:11" ht="15" customHeight="1">
      <c r="I1503" s="35"/>
      <c r="J1503" s="35"/>
      <c r="K1503" s="35"/>
    </row>
    <row r="1504" spans="9:11" ht="15" customHeight="1">
      <c r="I1504" s="35"/>
      <c r="J1504" s="35"/>
      <c r="K1504" s="35"/>
    </row>
    <row r="1505" spans="9:11" ht="15" customHeight="1">
      <c r="I1505" s="35"/>
      <c r="J1505" s="35"/>
      <c r="K1505" s="35"/>
    </row>
    <row r="1506" spans="9:11" ht="15" customHeight="1">
      <c r="I1506" s="35"/>
      <c r="J1506" s="35"/>
      <c r="K1506" s="35"/>
    </row>
    <row r="1507" spans="9:11" ht="15" customHeight="1">
      <c r="I1507" s="35"/>
      <c r="J1507" s="35"/>
      <c r="K1507" s="35"/>
    </row>
    <row r="1508" spans="9:11" ht="15" customHeight="1">
      <c r="I1508" s="35"/>
      <c r="J1508" s="35"/>
      <c r="K1508" s="35"/>
    </row>
    <row r="1509" spans="9:11" ht="15" customHeight="1">
      <c r="I1509" s="35"/>
      <c r="J1509" s="35"/>
      <c r="K1509" s="35"/>
    </row>
    <row r="1510" spans="9:11" ht="15" customHeight="1">
      <c r="I1510" s="35"/>
      <c r="J1510" s="35"/>
      <c r="K1510" s="35"/>
    </row>
    <row r="1511" spans="9:11" ht="15" customHeight="1">
      <c r="I1511" s="35"/>
      <c r="J1511" s="35"/>
      <c r="K1511" s="35"/>
    </row>
    <row r="1512" spans="9:11" ht="15" customHeight="1">
      <c r="I1512" s="35"/>
      <c r="J1512" s="35"/>
      <c r="K1512" s="35"/>
    </row>
    <row r="1513" spans="9:11" ht="15" customHeight="1">
      <c r="I1513" s="35"/>
      <c r="J1513" s="35"/>
      <c r="K1513" s="35"/>
    </row>
    <row r="1514" spans="9:11" ht="15" customHeight="1">
      <c r="I1514" s="35"/>
      <c r="J1514" s="35"/>
      <c r="K1514" s="35"/>
    </row>
    <row r="1515" spans="9:11" ht="15" customHeight="1">
      <c r="I1515" s="35"/>
      <c r="J1515" s="35"/>
      <c r="K1515" s="35"/>
    </row>
    <row r="1516" spans="9:11" ht="15" customHeight="1">
      <c r="I1516" s="35"/>
      <c r="J1516" s="35"/>
      <c r="K1516" s="35"/>
    </row>
    <row r="1517" spans="9:11" ht="15" customHeight="1">
      <c r="I1517" s="35"/>
      <c r="J1517" s="35"/>
      <c r="K1517" s="35"/>
    </row>
    <row r="1518" spans="9:11" ht="15" customHeight="1">
      <c r="I1518" s="35"/>
      <c r="J1518" s="35"/>
      <c r="K1518" s="35"/>
    </row>
    <row r="1519" spans="9:11" ht="15" customHeight="1">
      <c r="I1519" s="35"/>
      <c r="J1519" s="35"/>
      <c r="K1519" s="35"/>
    </row>
    <row r="1520" spans="9:11" ht="15" customHeight="1">
      <c r="I1520" s="35"/>
      <c r="J1520" s="35"/>
      <c r="K1520" s="35"/>
    </row>
    <row r="1521" spans="9:11" ht="15" customHeight="1">
      <c r="I1521" s="35"/>
      <c r="J1521" s="35"/>
      <c r="K1521" s="35"/>
    </row>
    <row r="1522" spans="9:11" ht="15" customHeight="1">
      <c r="I1522" s="35"/>
      <c r="J1522" s="35"/>
      <c r="K1522" s="35"/>
    </row>
    <row r="1523" spans="9:11" ht="15" customHeight="1">
      <c r="I1523" s="35"/>
      <c r="J1523" s="35"/>
      <c r="K1523" s="35"/>
    </row>
    <row r="1524" spans="9:11" ht="15" customHeight="1">
      <c r="I1524" s="35"/>
      <c r="J1524" s="35"/>
      <c r="K1524" s="35"/>
    </row>
    <row r="1525" spans="9:11" ht="15" customHeight="1">
      <c r="I1525" s="35"/>
      <c r="J1525" s="35"/>
      <c r="K1525" s="35"/>
    </row>
    <row r="1526" spans="9:11" ht="15" customHeight="1">
      <c r="I1526" s="35"/>
      <c r="J1526" s="35"/>
      <c r="K1526" s="35"/>
    </row>
    <row r="1527" spans="9:11" ht="15" customHeight="1">
      <c r="I1527" s="35"/>
      <c r="J1527" s="35"/>
      <c r="K1527" s="35"/>
    </row>
    <row r="1528" spans="9:11" ht="15" customHeight="1">
      <c r="I1528" s="35"/>
      <c r="J1528" s="35"/>
      <c r="K1528" s="35"/>
    </row>
    <row r="1529" spans="9:11" ht="15" customHeight="1">
      <c r="I1529" s="35"/>
      <c r="J1529" s="35"/>
      <c r="K1529" s="35"/>
    </row>
    <row r="1530" spans="9:11" ht="15" customHeight="1">
      <c r="I1530" s="35"/>
      <c r="J1530" s="35"/>
      <c r="K1530" s="35"/>
    </row>
    <row r="1531" spans="9:11" ht="15" customHeight="1">
      <c r="I1531" s="35"/>
      <c r="J1531" s="35"/>
      <c r="K1531" s="35"/>
    </row>
    <row r="1532" spans="9:11" ht="15" customHeight="1">
      <c r="I1532" s="35"/>
      <c r="J1532" s="35"/>
      <c r="K1532" s="35"/>
    </row>
    <row r="1533" spans="9:11" ht="15" customHeight="1">
      <c r="I1533" s="35"/>
      <c r="J1533" s="35"/>
      <c r="K1533" s="35"/>
    </row>
    <row r="1534" spans="9:11" ht="15" customHeight="1">
      <c r="I1534" s="35"/>
      <c r="J1534" s="35"/>
      <c r="K1534" s="35"/>
    </row>
    <row r="1535" spans="9:11" ht="15" customHeight="1">
      <c r="I1535" s="35"/>
      <c r="J1535" s="35"/>
      <c r="K1535" s="35"/>
    </row>
    <row r="1536" spans="9:11" ht="15" customHeight="1">
      <c r="I1536" s="35"/>
      <c r="J1536" s="35"/>
      <c r="K1536" s="35"/>
    </row>
    <row r="1537" spans="9:11" ht="15" customHeight="1">
      <c r="I1537" s="35"/>
      <c r="J1537" s="35"/>
      <c r="K1537" s="35"/>
    </row>
    <row r="1538" spans="9:11" ht="15" customHeight="1">
      <c r="I1538" s="35"/>
      <c r="J1538" s="35"/>
      <c r="K1538" s="35"/>
    </row>
    <row r="1539" spans="9:11" ht="15" customHeight="1">
      <c r="I1539" s="35"/>
      <c r="J1539" s="35"/>
      <c r="K1539" s="35"/>
    </row>
    <row r="1540" spans="9:11" ht="15" customHeight="1">
      <c r="I1540" s="35"/>
      <c r="J1540" s="35"/>
      <c r="K1540" s="35"/>
    </row>
    <row r="1541" spans="9:11" ht="15" customHeight="1">
      <c r="I1541" s="35"/>
      <c r="J1541" s="35"/>
      <c r="K1541" s="35"/>
    </row>
    <row r="1542" spans="9:11" ht="15" customHeight="1">
      <c r="I1542" s="35"/>
      <c r="J1542" s="35"/>
      <c r="K1542" s="35"/>
    </row>
    <row r="1543" spans="9:11" ht="15" customHeight="1">
      <c r="I1543" s="35"/>
      <c r="J1543" s="35"/>
      <c r="K1543" s="35"/>
    </row>
    <row r="1544" spans="9:11" ht="15" customHeight="1">
      <c r="I1544" s="35"/>
      <c r="J1544" s="35"/>
      <c r="K1544" s="35"/>
    </row>
    <row r="1545" spans="9:11" ht="15" customHeight="1">
      <c r="I1545" s="35"/>
      <c r="J1545" s="35"/>
      <c r="K1545" s="35"/>
    </row>
    <row r="1546" spans="9:11" ht="15" customHeight="1">
      <c r="I1546" s="35"/>
      <c r="J1546" s="35"/>
      <c r="K1546" s="35"/>
    </row>
    <row r="1547" spans="9:11" ht="15" customHeight="1">
      <c r="I1547" s="35"/>
      <c r="J1547" s="35"/>
      <c r="K1547" s="35"/>
    </row>
    <row r="1548" spans="9:11" ht="15" customHeight="1">
      <c r="I1548" s="35"/>
      <c r="J1548" s="35"/>
      <c r="K1548" s="35"/>
    </row>
    <row r="1549" spans="9:11" ht="15" customHeight="1">
      <c r="I1549" s="35"/>
      <c r="J1549" s="35"/>
      <c r="K1549" s="35"/>
    </row>
    <row r="1550" spans="9:11" ht="15" customHeight="1">
      <c r="I1550" s="35"/>
      <c r="J1550" s="35"/>
      <c r="K1550" s="35"/>
    </row>
    <row r="1551" spans="9:11" ht="15" customHeight="1">
      <c r="I1551" s="35"/>
      <c r="J1551" s="35"/>
      <c r="K1551" s="35"/>
    </row>
    <row r="1552" spans="9:11" ht="15" customHeight="1">
      <c r="I1552" s="35"/>
      <c r="J1552" s="35"/>
      <c r="K1552" s="35"/>
    </row>
    <row r="1553" spans="9:11" ht="15" customHeight="1">
      <c r="I1553" s="35"/>
      <c r="J1553" s="35"/>
      <c r="K1553" s="35"/>
    </row>
    <row r="1554" spans="9:11" ht="15" customHeight="1">
      <c r="I1554" s="35"/>
      <c r="J1554" s="35"/>
      <c r="K1554" s="35"/>
    </row>
    <row r="1555" spans="9:11" ht="15" customHeight="1">
      <c r="I1555" s="35"/>
      <c r="J1555" s="35"/>
      <c r="K1555" s="35"/>
    </row>
    <row r="1556" spans="9:11" ht="15" customHeight="1">
      <c r="I1556" s="35"/>
      <c r="J1556" s="35"/>
      <c r="K1556" s="35"/>
    </row>
    <row r="1557" spans="9:11" ht="15" customHeight="1">
      <c r="I1557" s="35"/>
      <c r="J1557" s="35"/>
      <c r="K1557" s="35"/>
    </row>
    <row r="1558" spans="9:11" ht="15" customHeight="1">
      <c r="I1558" s="35"/>
      <c r="J1558" s="35"/>
      <c r="K1558" s="35"/>
    </row>
    <row r="1559" spans="9:11" ht="15" customHeight="1">
      <c r="I1559" s="35"/>
      <c r="J1559" s="35"/>
      <c r="K1559" s="35"/>
    </row>
    <row r="1560" spans="9:11" ht="15" customHeight="1">
      <c r="I1560" s="35"/>
      <c r="J1560" s="35"/>
      <c r="K1560" s="35"/>
    </row>
    <row r="1561" spans="9:11" ht="15" customHeight="1">
      <c r="I1561" s="35"/>
      <c r="J1561" s="35"/>
      <c r="K1561" s="35"/>
    </row>
    <row r="1562" spans="9:11" ht="15" customHeight="1">
      <c r="I1562" s="35"/>
      <c r="J1562" s="35"/>
      <c r="K1562" s="35"/>
    </row>
    <row r="1563" spans="9:11" ht="15" customHeight="1">
      <c r="I1563" s="35"/>
      <c r="J1563" s="35"/>
      <c r="K1563" s="35"/>
    </row>
    <row r="1564" spans="9:11" ht="15" customHeight="1">
      <c r="I1564" s="35"/>
      <c r="J1564" s="35"/>
      <c r="K1564" s="35"/>
    </row>
    <row r="1565" spans="9:11" ht="15" customHeight="1">
      <c r="I1565" s="35"/>
      <c r="J1565" s="35"/>
      <c r="K1565" s="35"/>
    </row>
    <row r="1566" spans="9:11" ht="15" customHeight="1">
      <c r="I1566" s="35"/>
      <c r="J1566" s="35"/>
      <c r="K1566" s="35"/>
    </row>
    <row r="1567" spans="9:11" ht="15" customHeight="1">
      <c r="I1567" s="35"/>
      <c r="J1567" s="35"/>
      <c r="K1567" s="35"/>
    </row>
    <row r="1568" spans="9:11" ht="15" customHeight="1">
      <c r="I1568" s="35"/>
      <c r="J1568" s="35"/>
      <c r="K1568" s="35"/>
    </row>
    <row r="1569" spans="9:11" ht="15" customHeight="1">
      <c r="I1569" s="35"/>
      <c r="J1569" s="35"/>
      <c r="K1569" s="35"/>
    </row>
    <row r="1570" spans="9:11" ht="15" customHeight="1">
      <c r="I1570" s="35"/>
      <c r="J1570" s="35"/>
      <c r="K1570" s="35"/>
    </row>
    <row r="1571" spans="9:11" ht="15" customHeight="1">
      <c r="I1571" s="35"/>
      <c r="J1571" s="35"/>
      <c r="K1571" s="35"/>
    </row>
    <row r="1572" spans="9:11" ht="15" customHeight="1">
      <c r="I1572" s="35"/>
      <c r="J1572" s="35"/>
      <c r="K1572" s="35"/>
    </row>
    <row r="1573" spans="9:11" ht="15" customHeight="1">
      <c r="I1573" s="35"/>
      <c r="J1573" s="35"/>
      <c r="K1573" s="35"/>
    </row>
    <row r="1574" spans="9:11" ht="15" customHeight="1">
      <c r="I1574" s="35"/>
      <c r="J1574" s="35"/>
      <c r="K1574" s="35"/>
    </row>
    <row r="1575" spans="9:11" ht="15" customHeight="1">
      <c r="I1575" s="35"/>
      <c r="J1575" s="35"/>
      <c r="K1575" s="35"/>
    </row>
    <row r="1576" spans="9:11" ht="15" customHeight="1">
      <c r="I1576" s="35"/>
      <c r="J1576" s="35"/>
      <c r="K1576" s="35"/>
    </row>
    <row r="1577" spans="9:11" ht="15" customHeight="1">
      <c r="I1577" s="35"/>
      <c r="J1577" s="35"/>
      <c r="K1577" s="35"/>
    </row>
    <row r="1578" spans="9:11" ht="15" customHeight="1">
      <c r="I1578" s="35"/>
      <c r="J1578" s="35"/>
      <c r="K1578" s="35"/>
    </row>
    <row r="1579" spans="9:11" ht="15" customHeight="1">
      <c r="I1579" s="35"/>
      <c r="J1579" s="35"/>
      <c r="K1579" s="35"/>
    </row>
    <row r="1580" spans="9:11" ht="15" customHeight="1">
      <c r="I1580" s="35"/>
      <c r="J1580" s="35"/>
      <c r="K1580" s="35"/>
    </row>
    <row r="1581" spans="9:11" ht="15" customHeight="1">
      <c r="I1581" s="35"/>
      <c r="J1581" s="35"/>
      <c r="K1581" s="35"/>
    </row>
    <row r="1582" spans="9:11" ht="15" customHeight="1">
      <c r="I1582" s="35"/>
      <c r="J1582" s="35"/>
      <c r="K1582" s="35"/>
    </row>
    <row r="1583" spans="9:11" ht="15" customHeight="1">
      <c r="I1583" s="35"/>
      <c r="J1583" s="35"/>
      <c r="K1583" s="35"/>
    </row>
    <row r="1584" spans="9:11" ht="15" customHeight="1">
      <c r="I1584" s="35"/>
      <c r="J1584" s="35"/>
      <c r="K1584" s="35"/>
    </row>
    <row r="1585" spans="9:11" ht="15" customHeight="1">
      <c r="I1585" s="35"/>
      <c r="J1585" s="35"/>
      <c r="K1585" s="35"/>
    </row>
    <row r="1586" spans="9:11" ht="15" customHeight="1">
      <c r="I1586" s="35"/>
      <c r="J1586" s="35"/>
      <c r="K1586" s="35"/>
    </row>
    <row r="1587" spans="9:11" ht="15" customHeight="1">
      <c r="I1587" s="35"/>
      <c r="J1587" s="35"/>
      <c r="K1587" s="35"/>
    </row>
    <row r="1588" spans="9:11" ht="15" customHeight="1">
      <c r="I1588" s="35"/>
      <c r="J1588" s="35"/>
      <c r="K1588" s="35"/>
    </row>
    <row r="1589" spans="9:11" ht="15" customHeight="1">
      <c r="I1589" s="35"/>
      <c r="J1589" s="35"/>
      <c r="K1589" s="35"/>
    </row>
    <row r="1590" spans="9:11" ht="15" customHeight="1">
      <c r="I1590" s="35"/>
      <c r="J1590" s="35"/>
      <c r="K1590" s="35"/>
    </row>
    <row r="1591" spans="9:11" ht="15" customHeight="1">
      <c r="I1591" s="35"/>
      <c r="J1591" s="35"/>
      <c r="K1591" s="35"/>
    </row>
    <row r="1592" spans="9:11" ht="15" customHeight="1">
      <c r="I1592" s="35"/>
      <c r="J1592" s="35"/>
      <c r="K1592" s="35"/>
    </row>
    <row r="1593" spans="9:11" ht="15" customHeight="1">
      <c r="I1593" s="35"/>
      <c r="J1593" s="35"/>
      <c r="K1593" s="35"/>
    </row>
    <row r="1594" spans="9:11" ht="15" customHeight="1">
      <c r="I1594" s="35"/>
      <c r="J1594" s="35"/>
      <c r="K1594" s="35"/>
    </row>
    <row r="1595" spans="9:11" ht="15" customHeight="1">
      <c r="I1595" s="35"/>
      <c r="J1595" s="35"/>
      <c r="K1595" s="35"/>
    </row>
    <row r="1596" spans="9:11" ht="15" customHeight="1">
      <c r="I1596" s="35"/>
      <c r="J1596" s="35"/>
      <c r="K1596" s="35"/>
    </row>
    <row r="1597" spans="9:11" ht="15" customHeight="1">
      <c r="I1597" s="35"/>
      <c r="J1597" s="35"/>
      <c r="K1597" s="35"/>
    </row>
    <row r="1598" spans="9:11" ht="15" customHeight="1">
      <c r="I1598" s="35"/>
      <c r="J1598" s="35"/>
      <c r="K1598" s="35"/>
    </row>
    <row r="1599" spans="9:11" ht="15" customHeight="1">
      <c r="I1599" s="35"/>
      <c r="J1599" s="35"/>
      <c r="K1599" s="35"/>
    </row>
    <row r="1600" spans="9:11" ht="15" customHeight="1">
      <c r="I1600" s="35"/>
      <c r="J1600" s="35"/>
      <c r="K1600" s="35"/>
    </row>
    <row r="1601" spans="9:11" ht="15" customHeight="1">
      <c r="I1601" s="35"/>
      <c r="J1601" s="35"/>
      <c r="K1601" s="35"/>
    </row>
    <row r="1602" spans="9:11" ht="15" customHeight="1">
      <c r="I1602" s="35"/>
      <c r="J1602" s="35"/>
      <c r="K1602" s="35"/>
    </row>
    <row r="1603" spans="9:11" ht="15" customHeight="1">
      <c r="I1603" s="35"/>
      <c r="J1603" s="35"/>
      <c r="K1603" s="35"/>
    </row>
    <row r="1604" spans="9:11" ht="15" customHeight="1">
      <c r="I1604" s="35"/>
      <c r="J1604" s="35"/>
      <c r="K1604" s="35"/>
    </row>
    <row r="1605" spans="9:11" ht="15" customHeight="1">
      <c r="I1605" s="35"/>
      <c r="J1605" s="35"/>
      <c r="K1605" s="35"/>
    </row>
    <row r="1606" spans="9:11" ht="15" customHeight="1">
      <c r="I1606" s="35"/>
      <c r="J1606" s="35"/>
      <c r="K1606" s="35"/>
    </row>
    <row r="1607" spans="9:11" ht="15" customHeight="1">
      <c r="I1607" s="35"/>
      <c r="J1607" s="35"/>
      <c r="K1607" s="35"/>
    </row>
    <row r="1608" spans="9:11" ht="15" customHeight="1">
      <c r="I1608" s="35"/>
      <c r="J1608" s="35"/>
      <c r="K1608" s="35"/>
    </row>
    <row r="1609" spans="9:11" ht="15" customHeight="1">
      <c r="I1609" s="35"/>
      <c r="J1609" s="35"/>
      <c r="K1609" s="35"/>
    </row>
    <row r="1610" spans="9:11" ht="15" customHeight="1">
      <c r="I1610" s="35"/>
      <c r="J1610" s="35"/>
      <c r="K1610" s="35"/>
    </row>
    <row r="1611" spans="9:11" ht="15" customHeight="1">
      <c r="I1611" s="35"/>
      <c r="J1611" s="35"/>
      <c r="K1611" s="35"/>
    </row>
    <row r="1612" spans="9:11" ht="15" customHeight="1">
      <c r="I1612" s="35"/>
      <c r="J1612" s="35"/>
      <c r="K1612" s="35"/>
    </row>
    <row r="1613" spans="9:11" ht="15" customHeight="1">
      <c r="I1613" s="35"/>
      <c r="J1613" s="35"/>
      <c r="K1613" s="35"/>
    </row>
    <row r="1614" spans="9:11" ht="15" customHeight="1">
      <c r="I1614" s="35"/>
      <c r="J1614" s="35"/>
      <c r="K1614" s="35"/>
    </row>
    <row r="1615" spans="9:11" ht="15" customHeight="1">
      <c r="I1615" s="35"/>
      <c r="J1615" s="35"/>
      <c r="K1615" s="35"/>
    </row>
    <row r="1616" spans="9:11" ht="15" customHeight="1">
      <c r="I1616" s="35"/>
      <c r="J1616" s="35"/>
      <c r="K1616" s="35"/>
    </row>
    <row r="1617" spans="9:11" ht="15" customHeight="1">
      <c r="I1617" s="35"/>
      <c r="J1617" s="35"/>
      <c r="K1617" s="35"/>
    </row>
    <row r="1618" spans="9:11" ht="15" customHeight="1">
      <c r="I1618" s="35"/>
      <c r="J1618" s="35"/>
      <c r="K1618" s="35"/>
    </row>
    <row r="1619" spans="9:11" ht="15" customHeight="1">
      <c r="I1619" s="35"/>
      <c r="J1619" s="35"/>
      <c r="K1619" s="35"/>
    </row>
    <row r="1620" spans="9:11" ht="15" customHeight="1">
      <c r="I1620" s="35"/>
      <c r="J1620" s="35"/>
      <c r="K1620" s="35"/>
    </row>
    <row r="1621" spans="9:11" ht="15" customHeight="1">
      <c r="I1621" s="35"/>
      <c r="J1621" s="35"/>
      <c r="K1621" s="35"/>
    </row>
    <row r="1622" spans="9:11" ht="15" customHeight="1">
      <c r="I1622" s="35"/>
      <c r="J1622" s="35"/>
      <c r="K1622" s="35"/>
    </row>
    <row r="1623" spans="9:11" ht="15" customHeight="1">
      <c r="I1623" s="35"/>
      <c r="J1623" s="35"/>
      <c r="K1623" s="35"/>
    </row>
    <row r="1624" spans="9:11" ht="15" customHeight="1">
      <c r="I1624" s="35"/>
      <c r="J1624" s="35"/>
      <c r="K1624" s="35"/>
    </row>
    <row r="1625" spans="9:11" ht="15" customHeight="1">
      <c r="I1625" s="35"/>
      <c r="J1625" s="35"/>
      <c r="K1625" s="35"/>
    </row>
    <row r="1626" spans="9:11" ht="15" customHeight="1">
      <c r="I1626" s="35"/>
      <c r="J1626" s="35"/>
      <c r="K1626" s="35"/>
    </row>
    <row r="1627" spans="9:11" ht="15" customHeight="1">
      <c r="I1627" s="35"/>
      <c r="J1627" s="35"/>
      <c r="K1627" s="35"/>
    </row>
    <row r="1628" spans="9:11" ht="15" customHeight="1">
      <c r="I1628" s="35"/>
      <c r="J1628" s="35"/>
      <c r="K1628" s="35"/>
    </row>
    <row r="1629" spans="9:11" ht="15" customHeight="1">
      <c r="I1629" s="35"/>
      <c r="J1629" s="35"/>
      <c r="K1629" s="35"/>
    </row>
    <row r="1630" spans="9:11" ht="15" customHeight="1">
      <c r="I1630" s="35"/>
      <c r="J1630" s="35"/>
      <c r="K1630" s="35"/>
    </row>
    <row r="1631" spans="9:11" ht="15" customHeight="1">
      <c r="I1631" s="35"/>
      <c r="J1631" s="35"/>
      <c r="K1631" s="35"/>
    </row>
    <row r="1632" spans="9:11" ht="15" customHeight="1">
      <c r="I1632" s="35"/>
      <c r="J1632" s="35"/>
      <c r="K1632" s="35"/>
    </row>
    <row r="1633" spans="9:11" ht="15" customHeight="1">
      <c r="I1633" s="35"/>
      <c r="J1633" s="35"/>
      <c r="K1633" s="35"/>
    </row>
    <row r="1634" spans="9:11" ht="15" customHeight="1">
      <c r="I1634" s="35"/>
      <c r="J1634" s="35"/>
      <c r="K1634" s="35"/>
    </row>
    <row r="1635" spans="9:11" ht="15" customHeight="1">
      <c r="I1635" s="35"/>
      <c r="J1635" s="35"/>
      <c r="K1635" s="35"/>
    </row>
    <row r="1636" spans="9:11" ht="15" customHeight="1">
      <c r="I1636" s="35"/>
      <c r="J1636" s="35"/>
      <c r="K1636" s="35"/>
    </row>
    <row r="1637" spans="9:11" ht="15" customHeight="1">
      <c r="I1637" s="35"/>
      <c r="J1637" s="35"/>
      <c r="K1637" s="35"/>
    </row>
    <row r="1638" spans="9:11" ht="15" customHeight="1">
      <c r="I1638" s="35"/>
      <c r="J1638" s="35"/>
      <c r="K1638" s="35"/>
    </row>
    <row r="1639" spans="9:11" ht="15" customHeight="1">
      <c r="I1639" s="35"/>
      <c r="J1639" s="35"/>
      <c r="K1639" s="35"/>
    </row>
    <row r="1640" spans="9:11" ht="15" customHeight="1">
      <c r="I1640" s="35"/>
      <c r="J1640" s="35"/>
      <c r="K1640" s="35"/>
    </row>
    <row r="1641" spans="9:11" ht="15" customHeight="1">
      <c r="I1641" s="35"/>
      <c r="J1641" s="35"/>
      <c r="K1641" s="35"/>
    </row>
    <row r="1642" spans="9:11" ht="15" customHeight="1">
      <c r="I1642" s="35"/>
      <c r="J1642" s="35"/>
      <c r="K1642" s="35"/>
    </row>
    <row r="1643" spans="9:11" ht="15" customHeight="1">
      <c r="I1643" s="35"/>
      <c r="J1643" s="35"/>
      <c r="K1643" s="35"/>
    </row>
    <row r="1644" spans="9:11" ht="15" customHeight="1">
      <c r="I1644" s="35"/>
      <c r="J1644" s="35"/>
      <c r="K1644" s="35"/>
    </row>
    <row r="1645" spans="9:11" ht="15" customHeight="1">
      <c r="I1645" s="35"/>
      <c r="J1645" s="35"/>
      <c r="K1645" s="35"/>
    </row>
    <row r="1646" spans="9:11" ht="15" customHeight="1">
      <c r="I1646" s="35"/>
      <c r="J1646" s="35"/>
      <c r="K1646" s="35"/>
    </row>
    <row r="1647" spans="9:11" ht="15" customHeight="1">
      <c r="I1647" s="35"/>
      <c r="J1647" s="35"/>
      <c r="K1647" s="35"/>
    </row>
    <row r="1648" spans="9:11" ht="15" customHeight="1">
      <c r="I1648" s="35"/>
      <c r="J1648" s="35"/>
      <c r="K1648" s="35"/>
    </row>
    <row r="1649" spans="9:11" ht="15" customHeight="1">
      <c r="I1649" s="35"/>
      <c r="J1649" s="35"/>
      <c r="K1649" s="35"/>
    </row>
    <row r="1650" spans="9:11" ht="15" customHeight="1">
      <c r="I1650" s="35"/>
      <c r="J1650" s="35"/>
      <c r="K1650" s="35"/>
    </row>
    <row r="1651" spans="9:11" ht="15" customHeight="1">
      <c r="I1651" s="35"/>
      <c r="J1651" s="35"/>
      <c r="K1651" s="35"/>
    </row>
    <row r="1652" spans="9:11" ht="15" customHeight="1">
      <c r="I1652" s="35"/>
      <c r="J1652" s="35"/>
      <c r="K1652" s="35"/>
    </row>
    <row r="1653" spans="9:11" ht="15" customHeight="1">
      <c r="I1653" s="35"/>
      <c r="J1653" s="35"/>
      <c r="K1653" s="35"/>
    </row>
    <row r="1654" spans="9:11" ht="15" customHeight="1">
      <c r="I1654" s="35"/>
      <c r="J1654" s="35"/>
      <c r="K1654" s="35"/>
    </row>
    <row r="1655" spans="9:11" ht="15" customHeight="1">
      <c r="I1655" s="35"/>
      <c r="J1655" s="35"/>
      <c r="K1655" s="35"/>
    </row>
    <row r="1656" spans="9:11" ht="15" customHeight="1">
      <c r="I1656" s="35"/>
      <c r="J1656" s="35"/>
      <c r="K1656" s="35"/>
    </row>
    <row r="1657" spans="9:11" ht="15" customHeight="1">
      <c r="I1657" s="35"/>
      <c r="J1657" s="35"/>
      <c r="K1657" s="35"/>
    </row>
    <row r="1658" spans="9:11" ht="15" customHeight="1">
      <c r="I1658" s="35"/>
      <c r="J1658" s="35"/>
      <c r="K1658" s="35"/>
    </row>
    <row r="1659" spans="9:11" ht="15" customHeight="1">
      <c r="I1659" s="35"/>
      <c r="J1659" s="35"/>
      <c r="K1659" s="35"/>
    </row>
    <row r="1660" spans="9:11" ht="15" customHeight="1">
      <c r="I1660" s="35"/>
      <c r="J1660" s="35"/>
      <c r="K1660" s="35"/>
    </row>
    <row r="1661" spans="9:11" ht="15" customHeight="1">
      <c r="I1661" s="35"/>
      <c r="J1661" s="35"/>
      <c r="K1661" s="35"/>
    </row>
    <row r="1662" spans="9:11" ht="15" customHeight="1">
      <c r="I1662" s="35"/>
      <c r="J1662" s="35"/>
      <c r="K1662" s="35"/>
    </row>
    <row r="1663" spans="9:11" ht="15" customHeight="1">
      <c r="I1663" s="35"/>
      <c r="J1663" s="35"/>
      <c r="K1663" s="35"/>
    </row>
    <row r="1664" spans="9:11" ht="15" customHeight="1">
      <c r="I1664" s="35"/>
      <c r="J1664" s="35"/>
      <c r="K1664" s="35"/>
    </row>
    <row r="1665" spans="9:11" ht="15" customHeight="1">
      <c r="I1665" s="35"/>
      <c r="J1665" s="35"/>
      <c r="K1665" s="35"/>
    </row>
    <row r="1666" spans="9:11" ht="15" customHeight="1">
      <c r="I1666" s="35"/>
      <c r="J1666" s="35"/>
      <c r="K1666" s="35"/>
    </row>
    <row r="1667" spans="9:11" ht="15" customHeight="1">
      <c r="I1667" s="35"/>
      <c r="J1667" s="35"/>
      <c r="K1667" s="35"/>
    </row>
    <row r="1668" spans="9:11" ht="15" customHeight="1">
      <c r="I1668" s="35"/>
      <c r="J1668" s="35"/>
      <c r="K1668" s="35"/>
    </row>
    <row r="1669" spans="9:11" ht="15" customHeight="1">
      <c r="I1669" s="35"/>
      <c r="J1669" s="35"/>
      <c r="K1669" s="35"/>
    </row>
    <row r="1670" spans="9:11" ht="15" customHeight="1">
      <c r="I1670" s="35"/>
      <c r="J1670" s="35"/>
      <c r="K1670" s="35"/>
    </row>
    <row r="1671" spans="9:11" ht="15" customHeight="1">
      <c r="I1671" s="35"/>
      <c r="J1671" s="35"/>
      <c r="K1671" s="35"/>
    </row>
    <row r="1672" spans="9:11" ht="15" customHeight="1">
      <c r="I1672" s="35"/>
      <c r="J1672" s="35"/>
      <c r="K1672" s="35"/>
    </row>
    <row r="1673" spans="9:11" ht="15" customHeight="1">
      <c r="I1673" s="35"/>
      <c r="J1673" s="35"/>
      <c r="K1673" s="35"/>
    </row>
    <row r="1674" spans="9:11" ht="15" customHeight="1">
      <c r="I1674" s="35"/>
      <c r="J1674" s="35"/>
      <c r="K1674" s="35"/>
    </row>
    <row r="1675" spans="9:11" ht="15" customHeight="1">
      <c r="I1675" s="35"/>
      <c r="J1675" s="35"/>
      <c r="K1675" s="35"/>
    </row>
    <row r="1676" spans="9:11" ht="15" customHeight="1">
      <c r="I1676" s="35"/>
      <c r="J1676" s="35"/>
      <c r="K1676" s="35"/>
    </row>
    <row r="1677" spans="9:11" ht="15" customHeight="1">
      <c r="I1677" s="35"/>
      <c r="J1677" s="35"/>
      <c r="K1677" s="35"/>
    </row>
    <row r="1678" spans="9:11" ht="15" customHeight="1">
      <c r="I1678" s="35"/>
      <c r="J1678" s="35"/>
      <c r="K1678" s="35"/>
    </row>
    <row r="1679" spans="9:11" ht="15" customHeight="1">
      <c r="I1679" s="35"/>
      <c r="J1679" s="35"/>
      <c r="K1679" s="35"/>
    </row>
    <row r="1680" spans="9:11" ht="15" customHeight="1">
      <c r="I1680" s="35"/>
      <c r="J1680" s="35"/>
      <c r="K1680" s="35"/>
    </row>
    <row r="1681" spans="9:11" ht="15" customHeight="1">
      <c r="I1681" s="35"/>
      <c r="J1681" s="35"/>
      <c r="K1681" s="35"/>
    </row>
    <row r="1682" spans="9:11" ht="15" customHeight="1">
      <c r="I1682" s="35"/>
      <c r="J1682" s="35"/>
      <c r="K1682" s="35"/>
    </row>
    <row r="1683" spans="9:11" ht="15" customHeight="1">
      <c r="I1683" s="35"/>
      <c r="J1683" s="35"/>
      <c r="K1683" s="35"/>
    </row>
    <row r="1684" spans="9:11" ht="15" customHeight="1">
      <c r="I1684" s="35"/>
      <c r="J1684" s="35"/>
      <c r="K1684" s="35"/>
    </row>
    <row r="1685" spans="9:11" ht="15" customHeight="1">
      <c r="I1685" s="35"/>
      <c r="J1685" s="35"/>
      <c r="K1685" s="35"/>
    </row>
    <row r="1686" spans="9:11" ht="15" customHeight="1">
      <c r="I1686" s="35"/>
      <c r="J1686" s="35"/>
      <c r="K1686" s="35"/>
    </row>
    <row r="1687" spans="9:11" ht="15" customHeight="1">
      <c r="I1687" s="35"/>
      <c r="J1687" s="35"/>
      <c r="K1687" s="35"/>
    </row>
    <row r="1688" spans="9:11" ht="15" customHeight="1">
      <c r="I1688" s="35"/>
      <c r="J1688" s="35"/>
      <c r="K1688" s="35"/>
    </row>
    <row r="1689" spans="9:11" ht="15" customHeight="1">
      <c r="I1689" s="35"/>
      <c r="J1689" s="35"/>
      <c r="K1689" s="35"/>
    </row>
    <row r="1690" spans="9:11" ht="15" customHeight="1">
      <c r="I1690" s="35"/>
      <c r="J1690" s="35"/>
      <c r="K1690" s="35"/>
    </row>
    <row r="1691" spans="9:11" ht="15" customHeight="1">
      <c r="I1691" s="35"/>
      <c r="J1691" s="35"/>
      <c r="K1691" s="35"/>
    </row>
    <row r="1692" spans="9:11" ht="15" customHeight="1">
      <c r="I1692" s="35"/>
      <c r="J1692" s="35"/>
      <c r="K1692" s="35"/>
    </row>
    <row r="1693" spans="9:11" ht="15" customHeight="1">
      <c r="I1693" s="35"/>
      <c r="J1693" s="35"/>
      <c r="K1693" s="35"/>
    </row>
    <row r="1694" spans="9:11" ht="15" customHeight="1">
      <c r="I1694" s="35"/>
      <c r="J1694" s="35"/>
      <c r="K1694" s="35"/>
    </row>
    <row r="1695" spans="9:11" ht="15" customHeight="1">
      <c r="I1695" s="35"/>
      <c r="J1695" s="35"/>
      <c r="K1695" s="35"/>
    </row>
    <row r="1696" spans="9:11" ht="15" customHeight="1">
      <c r="I1696" s="35"/>
      <c r="J1696" s="35"/>
      <c r="K1696" s="35"/>
    </row>
    <row r="1697" spans="9:11" ht="15" customHeight="1">
      <c r="I1697" s="35"/>
      <c r="J1697" s="35"/>
      <c r="K1697" s="35"/>
    </row>
    <row r="1698" spans="9:11" ht="15" customHeight="1">
      <c r="I1698" s="35"/>
      <c r="J1698" s="35"/>
      <c r="K1698" s="35"/>
    </row>
    <row r="1699" spans="9:11" ht="15" customHeight="1">
      <c r="I1699" s="35"/>
      <c r="J1699" s="35"/>
      <c r="K1699" s="35"/>
    </row>
    <row r="1700" spans="9:11" ht="15" customHeight="1">
      <c r="I1700" s="35"/>
      <c r="J1700" s="35"/>
      <c r="K1700" s="35"/>
    </row>
    <row r="1701" spans="9:11" ht="15" customHeight="1">
      <c r="I1701" s="35"/>
      <c r="J1701" s="35"/>
      <c r="K1701" s="35"/>
    </row>
    <row r="1702" spans="9:11" ht="15" customHeight="1">
      <c r="I1702" s="35"/>
      <c r="J1702" s="35"/>
      <c r="K1702" s="35"/>
    </row>
    <row r="1703" spans="9:11" ht="15" customHeight="1">
      <c r="I1703" s="35"/>
      <c r="J1703" s="35"/>
      <c r="K1703" s="35"/>
    </row>
    <row r="1704" spans="9:11" ht="15" customHeight="1">
      <c r="I1704" s="35"/>
      <c r="J1704" s="35"/>
      <c r="K1704" s="35"/>
    </row>
    <row r="1705" spans="9:11" ht="15" customHeight="1">
      <c r="I1705" s="35"/>
      <c r="J1705" s="35"/>
      <c r="K1705" s="35"/>
    </row>
    <row r="1706" spans="9:11" ht="15" customHeight="1">
      <c r="I1706" s="35"/>
      <c r="J1706" s="35"/>
      <c r="K1706" s="35"/>
    </row>
    <row r="1707" spans="9:11" ht="15" customHeight="1">
      <c r="I1707" s="35"/>
      <c r="J1707" s="35"/>
      <c r="K1707" s="35"/>
    </row>
    <row r="1708" spans="9:11" ht="15" customHeight="1">
      <c r="I1708" s="35"/>
      <c r="J1708" s="35"/>
      <c r="K1708" s="35"/>
    </row>
    <row r="1709" spans="9:11" ht="15" customHeight="1">
      <c r="I1709" s="35"/>
      <c r="J1709" s="35"/>
      <c r="K1709" s="35"/>
    </row>
    <row r="1710" spans="9:11" ht="15" customHeight="1">
      <c r="I1710" s="35"/>
      <c r="J1710" s="35"/>
      <c r="K1710" s="35"/>
    </row>
    <row r="1711" spans="9:11" ht="15" customHeight="1">
      <c r="I1711" s="35"/>
      <c r="J1711" s="35"/>
      <c r="K1711" s="35"/>
    </row>
    <row r="1712" spans="9:11" ht="15" customHeight="1">
      <c r="I1712" s="35"/>
      <c r="J1712" s="35"/>
      <c r="K1712" s="35"/>
    </row>
    <row r="1713" spans="9:11" ht="15" customHeight="1">
      <c r="I1713" s="35"/>
      <c r="J1713" s="35"/>
      <c r="K1713" s="35"/>
    </row>
    <row r="1714" spans="9:11" ht="15" customHeight="1">
      <c r="I1714" s="35"/>
      <c r="J1714" s="35"/>
      <c r="K1714" s="35"/>
    </row>
    <row r="1715" spans="9:11" ht="15" customHeight="1">
      <c r="I1715" s="35"/>
      <c r="J1715" s="35"/>
      <c r="K1715" s="35"/>
    </row>
    <row r="1716" spans="9:11" ht="15" customHeight="1">
      <c r="I1716" s="35"/>
      <c r="J1716" s="35"/>
      <c r="K1716" s="35"/>
    </row>
    <row r="1717" spans="9:11" ht="15" customHeight="1">
      <c r="I1717" s="35"/>
      <c r="J1717" s="35"/>
      <c r="K1717" s="35"/>
    </row>
    <row r="1718" spans="9:11" ht="15" customHeight="1">
      <c r="I1718" s="35"/>
      <c r="J1718" s="35"/>
      <c r="K1718" s="35"/>
    </row>
    <row r="1719" spans="9:11" ht="15" customHeight="1">
      <c r="I1719" s="35"/>
      <c r="J1719" s="35"/>
      <c r="K1719" s="35"/>
    </row>
    <row r="1720" spans="9:11" ht="15" customHeight="1">
      <c r="I1720" s="35"/>
      <c r="J1720" s="35"/>
      <c r="K1720" s="35"/>
    </row>
    <row r="1721" spans="9:11" ht="15" customHeight="1">
      <c r="I1721" s="35"/>
      <c r="J1721" s="35"/>
      <c r="K1721" s="35"/>
    </row>
    <row r="1722" spans="9:11" ht="15" customHeight="1">
      <c r="I1722" s="35"/>
      <c r="J1722" s="35"/>
      <c r="K1722" s="35"/>
    </row>
    <row r="1723" spans="9:11" ht="15" customHeight="1">
      <c r="I1723" s="35"/>
      <c r="J1723" s="35"/>
      <c r="K1723" s="35"/>
    </row>
    <row r="1724" spans="9:11" ht="15" customHeight="1">
      <c r="I1724" s="35"/>
      <c r="J1724" s="35"/>
      <c r="K1724" s="35"/>
    </row>
    <row r="1725" spans="9:11" ht="15" customHeight="1">
      <c r="I1725" s="35"/>
      <c r="J1725" s="35"/>
      <c r="K1725" s="35"/>
    </row>
    <row r="1726" spans="9:11" ht="15" customHeight="1">
      <c r="I1726" s="35"/>
      <c r="J1726" s="35"/>
      <c r="K1726" s="35"/>
    </row>
    <row r="1727" spans="9:11" ht="15" customHeight="1">
      <c r="I1727" s="35"/>
      <c r="J1727" s="35"/>
      <c r="K1727" s="35"/>
    </row>
    <row r="1728" spans="9:11" ht="15" customHeight="1">
      <c r="I1728" s="35"/>
      <c r="J1728" s="35"/>
      <c r="K1728" s="35"/>
    </row>
    <row r="1729" spans="9:11" ht="15" customHeight="1">
      <c r="I1729" s="35"/>
      <c r="J1729" s="35"/>
      <c r="K1729" s="35"/>
    </row>
    <row r="1730" spans="9:11" ht="15" customHeight="1">
      <c r="I1730" s="35"/>
      <c r="J1730" s="35"/>
      <c r="K1730" s="35"/>
    </row>
    <row r="1731" spans="9:11" ht="15" customHeight="1">
      <c r="I1731" s="35"/>
      <c r="J1731" s="35"/>
      <c r="K1731" s="35"/>
    </row>
    <row r="1732" spans="9:11" ht="15" customHeight="1">
      <c r="I1732" s="35"/>
      <c r="J1732" s="35"/>
      <c r="K1732" s="35"/>
    </row>
    <row r="1733" spans="9:11" ht="15" customHeight="1">
      <c r="I1733" s="35"/>
      <c r="J1733" s="35"/>
      <c r="K1733" s="35"/>
    </row>
    <row r="1734" spans="9:11" ht="15" customHeight="1">
      <c r="I1734" s="35"/>
      <c r="J1734" s="35"/>
      <c r="K1734" s="35"/>
    </row>
    <row r="1735" spans="9:11" ht="15" customHeight="1">
      <c r="I1735" s="35"/>
      <c r="J1735" s="35"/>
      <c r="K1735" s="35"/>
    </row>
    <row r="1736" spans="9:11" ht="15" customHeight="1">
      <c r="I1736" s="35"/>
      <c r="J1736" s="35"/>
      <c r="K1736" s="35"/>
    </row>
    <row r="1737" spans="9:11" ht="15" customHeight="1">
      <c r="I1737" s="35"/>
      <c r="J1737" s="35"/>
      <c r="K1737" s="35"/>
    </row>
    <row r="1738" spans="9:11" ht="15" customHeight="1">
      <c r="I1738" s="35"/>
      <c r="J1738" s="35"/>
      <c r="K1738" s="35"/>
    </row>
    <row r="1739" spans="9:11" ht="15" customHeight="1">
      <c r="I1739" s="35"/>
      <c r="J1739" s="35"/>
      <c r="K1739" s="35"/>
    </row>
    <row r="1740" spans="9:11" ht="15" customHeight="1">
      <c r="I1740" s="35"/>
      <c r="J1740" s="35"/>
      <c r="K1740" s="35"/>
    </row>
    <row r="1741" spans="9:11" ht="15" customHeight="1">
      <c r="I1741" s="35"/>
      <c r="J1741" s="35"/>
      <c r="K1741" s="35"/>
    </row>
    <row r="1742" spans="9:11" ht="15" customHeight="1">
      <c r="I1742" s="35"/>
      <c r="J1742" s="35"/>
      <c r="K1742" s="35"/>
    </row>
    <row r="1743" spans="9:11" ht="15" customHeight="1">
      <c r="I1743" s="35"/>
      <c r="J1743" s="35"/>
      <c r="K1743" s="35"/>
    </row>
    <row r="1744" spans="9:11" ht="15" customHeight="1">
      <c r="I1744" s="35"/>
      <c r="J1744" s="35"/>
      <c r="K1744" s="35"/>
    </row>
    <row r="1745" spans="9:11" ht="15" customHeight="1">
      <c r="I1745" s="35"/>
      <c r="J1745" s="35"/>
      <c r="K1745" s="35"/>
    </row>
    <row r="1746" spans="9:11" ht="15" customHeight="1">
      <c r="I1746" s="35"/>
      <c r="J1746" s="35"/>
      <c r="K1746" s="35"/>
    </row>
    <row r="1747" spans="9:11" ht="15" customHeight="1">
      <c r="I1747" s="35"/>
      <c r="J1747" s="35"/>
      <c r="K1747" s="35"/>
    </row>
    <row r="1748" spans="9:11" ht="15" customHeight="1">
      <c r="I1748" s="35"/>
      <c r="J1748" s="35"/>
      <c r="K1748" s="35"/>
    </row>
    <row r="1749" spans="9:11" ht="15" customHeight="1">
      <c r="I1749" s="35"/>
      <c r="J1749" s="35"/>
      <c r="K1749" s="35"/>
    </row>
    <row r="1750" spans="9:11" ht="15" customHeight="1">
      <c r="I1750" s="35"/>
      <c r="J1750" s="35"/>
      <c r="K1750" s="35"/>
    </row>
    <row r="1751" spans="9:11" ht="15" customHeight="1">
      <c r="I1751" s="35"/>
      <c r="J1751" s="35"/>
      <c r="K1751" s="35"/>
    </row>
    <row r="1752" spans="9:11" ht="15" customHeight="1">
      <c r="I1752" s="35"/>
      <c r="J1752" s="35"/>
      <c r="K1752" s="35"/>
    </row>
    <row r="1753" spans="9:11" ht="15" customHeight="1">
      <c r="I1753" s="35"/>
      <c r="J1753" s="35"/>
      <c r="K1753" s="35"/>
    </row>
    <row r="1754" spans="9:11" ht="15" customHeight="1">
      <c r="I1754" s="35"/>
      <c r="J1754" s="35"/>
      <c r="K1754" s="35"/>
    </row>
    <row r="1755" spans="9:11" ht="15" customHeight="1">
      <c r="I1755" s="35"/>
      <c r="J1755" s="35"/>
      <c r="K1755" s="35"/>
    </row>
    <row r="1756" spans="9:11" ht="15" customHeight="1">
      <c r="I1756" s="35"/>
      <c r="J1756" s="35"/>
      <c r="K1756" s="35"/>
    </row>
    <row r="1757" spans="9:11" ht="15" customHeight="1">
      <c r="I1757" s="35"/>
      <c r="J1757" s="35"/>
      <c r="K1757" s="35"/>
    </row>
    <row r="1758" spans="9:11" ht="15" customHeight="1">
      <c r="I1758" s="35"/>
      <c r="J1758" s="35"/>
      <c r="K1758" s="35"/>
    </row>
    <row r="1759" spans="9:11" ht="15" customHeight="1">
      <c r="I1759" s="35"/>
      <c r="J1759" s="35"/>
      <c r="K1759" s="35"/>
    </row>
    <row r="1760" spans="9:11" ht="15" customHeight="1">
      <c r="I1760" s="35"/>
      <c r="J1760" s="35"/>
      <c r="K1760" s="35"/>
    </row>
    <row r="1761" spans="9:11" ht="15" customHeight="1">
      <c r="I1761" s="35"/>
      <c r="J1761" s="35"/>
      <c r="K1761" s="35"/>
    </row>
    <row r="1762" spans="9:11" ht="15" customHeight="1">
      <c r="I1762" s="35"/>
      <c r="J1762" s="35"/>
      <c r="K1762" s="35"/>
    </row>
    <row r="1763" spans="9:11" ht="15" customHeight="1">
      <c r="I1763" s="35"/>
      <c r="J1763" s="35"/>
      <c r="K1763" s="35"/>
    </row>
    <row r="1764" spans="9:11" ht="15" customHeight="1">
      <c r="I1764" s="35"/>
      <c r="J1764" s="35"/>
      <c r="K1764" s="35"/>
    </row>
    <row r="1765" spans="9:11" ht="15" customHeight="1">
      <c r="I1765" s="35"/>
      <c r="J1765" s="35"/>
      <c r="K1765" s="35"/>
    </row>
    <row r="1766" spans="9:11" ht="15" customHeight="1">
      <c r="I1766" s="35"/>
      <c r="J1766" s="35"/>
      <c r="K1766" s="35"/>
    </row>
    <row r="1767" spans="9:11" ht="15" customHeight="1">
      <c r="I1767" s="35"/>
      <c r="J1767" s="35"/>
      <c r="K1767" s="35"/>
    </row>
    <row r="1768" spans="9:11" ht="15" customHeight="1">
      <c r="I1768" s="35"/>
      <c r="J1768" s="35"/>
      <c r="K1768" s="35"/>
    </row>
    <row r="1769" spans="9:11" ht="15" customHeight="1">
      <c r="I1769" s="35"/>
      <c r="J1769" s="35"/>
      <c r="K1769" s="35"/>
    </row>
    <row r="1770" spans="9:11" ht="15" customHeight="1">
      <c r="I1770" s="35"/>
      <c r="J1770" s="35"/>
      <c r="K1770" s="35"/>
    </row>
    <row r="1771" spans="9:11" ht="15" customHeight="1">
      <c r="I1771" s="35"/>
      <c r="J1771" s="35"/>
      <c r="K1771" s="35"/>
    </row>
    <row r="1772" spans="9:11" ht="15" customHeight="1">
      <c r="I1772" s="35"/>
      <c r="J1772" s="35"/>
      <c r="K1772" s="35"/>
    </row>
    <row r="1773" spans="9:11" ht="15" customHeight="1">
      <c r="I1773" s="35"/>
      <c r="J1773" s="35"/>
      <c r="K1773" s="35"/>
    </row>
    <row r="1774" spans="9:11" ht="15" customHeight="1">
      <c r="I1774" s="35"/>
      <c r="J1774" s="35"/>
      <c r="K1774" s="35"/>
    </row>
    <row r="1775" spans="9:11" ht="15" customHeight="1">
      <c r="I1775" s="35"/>
      <c r="J1775" s="35"/>
      <c r="K1775" s="35"/>
    </row>
    <row r="1776" spans="9:11" ht="15" customHeight="1">
      <c r="I1776" s="35"/>
      <c r="J1776" s="35"/>
      <c r="K1776" s="35"/>
    </row>
    <row r="1777" spans="9:11" ht="15" customHeight="1">
      <c r="I1777" s="35"/>
      <c r="J1777" s="35"/>
      <c r="K1777" s="35"/>
    </row>
    <row r="1778" spans="9:11" ht="15" customHeight="1">
      <c r="I1778" s="35"/>
      <c r="J1778" s="35"/>
      <c r="K1778" s="35"/>
    </row>
    <row r="1779" spans="9:11" ht="15" customHeight="1">
      <c r="I1779" s="35"/>
      <c r="J1779" s="35"/>
      <c r="K1779" s="35"/>
    </row>
    <row r="1780" spans="9:11" ht="15" customHeight="1">
      <c r="I1780" s="35"/>
      <c r="J1780" s="35"/>
      <c r="K1780" s="35"/>
    </row>
    <row r="1781" spans="9:11" ht="15" customHeight="1">
      <c r="I1781" s="35"/>
      <c r="J1781" s="35"/>
      <c r="K1781" s="35"/>
    </row>
    <row r="1782" spans="9:11" ht="15" customHeight="1">
      <c r="I1782" s="35"/>
      <c r="J1782" s="35"/>
      <c r="K1782" s="35"/>
    </row>
    <row r="1783" spans="9:11" ht="15" customHeight="1">
      <c r="I1783" s="35"/>
      <c r="J1783" s="35"/>
      <c r="K1783" s="35"/>
    </row>
    <row r="1784" spans="9:11" ht="15" customHeight="1">
      <c r="I1784" s="35"/>
      <c r="J1784" s="35"/>
      <c r="K1784" s="35"/>
    </row>
    <row r="1785" spans="9:11" ht="15" customHeight="1">
      <c r="I1785" s="35"/>
      <c r="J1785" s="35"/>
      <c r="K1785" s="35"/>
    </row>
    <row r="1786" spans="9:11" ht="15" customHeight="1">
      <c r="I1786" s="35"/>
      <c r="J1786" s="35"/>
      <c r="K1786" s="35"/>
    </row>
    <row r="1787" spans="9:11" ht="15" customHeight="1">
      <c r="I1787" s="35"/>
      <c r="J1787" s="35"/>
      <c r="K1787" s="35"/>
    </row>
    <row r="1788" spans="9:11" ht="15" customHeight="1">
      <c r="I1788" s="35"/>
      <c r="J1788" s="35"/>
      <c r="K1788" s="35"/>
    </row>
    <row r="1789" spans="9:11" ht="15" customHeight="1">
      <c r="I1789" s="35"/>
      <c r="J1789" s="35"/>
      <c r="K1789" s="35"/>
    </row>
    <row r="1790" spans="9:11" ht="15" customHeight="1">
      <c r="I1790" s="35"/>
      <c r="J1790" s="35"/>
      <c r="K1790" s="35"/>
    </row>
    <row r="1791" spans="9:11" ht="15" customHeight="1">
      <c r="I1791" s="35"/>
      <c r="J1791" s="35"/>
      <c r="K1791" s="35"/>
    </row>
    <row r="1792" spans="9:11" ht="15" customHeight="1">
      <c r="I1792" s="35"/>
      <c r="J1792" s="35"/>
      <c r="K1792" s="35"/>
    </row>
    <row r="1793" spans="9:11" ht="15" customHeight="1">
      <c r="I1793" s="35"/>
      <c r="J1793" s="35"/>
      <c r="K1793" s="35"/>
    </row>
    <row r="1794" spans="9:11" ht="15" customHeight="1">
      <c r="I1794" s="35"/>
      <c r="J1794" s="35"/>
      <c r="K1794" s="35"/>
    </row>
    <row r="1795" spans="9:11" ht="15" customHeight="1">
      <c r="I1795" s="35"/>
      <c r="J1795" s="35"/>
      <c r="K1795" s="35"/>
    </row>
    <row r="1796" spans="9:11" ht="15" customHeight="1">
      <c r="I1796" s="35"/>
      <c r="J1796" s="35"/>
      <c r="K1796" s="35"/>
    </row>
    <row r="1797" spans="9:11" ht="15" customHeight="1">
      <c r="I1797" s="35"/>
      <c r="J1797" s="35"/>
      <c r="K1797" s="35"/>
    </row>
    <row r="1798" spans="9:11" ht="15" customHeight="1">
      <c r="I1798" s="35"/>
      <c r="J1798" s="35"/>
      <c r="K1798" s="35"/>
    </row>
    <row r="1799" spans="9:11" ht="15" customHeight="1">
      <c r="I1799" s="35"/>
      <c r="J1799" s="35"/>
      <c r="K1799" s="35"/>
    </row>
    <row r="1800" spans="9:11" ht="15" customHeight="1">
      <c r="I1800" s="35"/>
      <c r="J1800" s="35"/>
      <c r="K1800" s="35"/>
    </row>
    <row r="1801" spans="9:11" ht="15" customHeight="1">
      <c r="I1801" s="35"/>
      <c r="J1801" s="35"/>
      <c r="K1801" s="35"/>
    </row>
    <row r="1802" spans="9:11" ht="15" customHeight="1">
      <c r="I1802" s="35"/>
      <c r="J1802" s="35"/>
      <c r="K1802" s="35"/>
    </row>
    <row r="1803" spans="9:11" ht="15" customHeight="1">
      <c r="I1803" s="35"/>
      <c r="J1803" s="35"/>
      <c r="K1803" s="35"/>
    </row>
    <row r="1804" spans="9:11" ht="15" customHeight="1">
      <c r="I1804" s="35"/>
      <c r="J1804" s="35"/>
      <c r="K1804" s="35"/>
    </row>
    <row r="1805" spans="9:11" ht="15" customHeight="1">
      <c r="I1805" s="35"/>
      <c r="J1805" s="35"/>
      <c r="K1805" s="35"/>
    </row>
    <row r="1806" spans="9:11" ht="15" customHeight="1">
      <c r="I1806" s="35"/>
      <c r="J1806" s="35"/>
      <c r="K1806" s="35"/>
    </row>
    <row r="1807" spans="9:11" ht="15" customHeight="1">
      <c r="I1807" s="35"/>
      <c r="J1807" s="35"/>
      <c r="K1807" s="35"/>
    </row>
    <row r="1808" spans="9:11" ht="15" customHeight="1">
      <c r="I1808" s="35"/>
      <c r="J1808" s="35"/>
      <c r="K1808" s="35"/>
    </row>
    <row r="1809" spans="9:11" ht="15" customHeight="1">
      <c r="I1809" s="35"/>
      <c r="J1809" s="35"/>
      <c r="K1809" s="35"/>
    </row>
    <row r="1810" spans="9:11" ht="15" customHeight="1">
      <c r="I1810" s="35"/>
      <c r="J1810" s="35"/>
      <c r="K1810" s="35"/>
    </row>
    <row r="1811" spans="9:11" ht="15" customHeight="1">
      <c r="I1811" s="35"/>
      <c r="J1811" s="35"/>
      <c r="K1811" s="35"/>
    </row>
    <row r="1812" spans="9:11" ht="15" customHeight="1">
      <c r="I1812" s="35"/>
      <c r="J1812" s="35"/>
      <c r="K1812" s="35"/>
    </row>
    <row r="1813" spans="9:11" ht="15" customHeight="1">
      <c r="I1813" s="35"/>
      <c r="J1813" s="35"/>
      <c r="K1813" s="35"/>
    </row>
    <row r="1814" spans="9:11" ht="15" customHeight="1">
      <c r="I1814" s="35"/>
      <c r="J1814" s="35"/>
      <c r="K1814" s="35"/>
    </row>
    <row r="1815" spans="9:11" ht="15" customHeight="1">
      <c r="I1815" s="35"/>
      <c r="J1815" s="35"/>
      <c r="K1815" s="35"/>
    </row>
    <row r="1816" spans="9:11" ht="15" customHeight="1">
      <c r="I1816" s="35"/>
      <c r="J1816" s="35"/>
      <c r="K1816" s="35"/>
    </row>
    <row r="1817" spans="9:11" ht="15" customHeight="1">
      <c r="I1817" s="35"/>
      <c r="J1817" s="35"/>
      <c r="K1817" s="35"/>
    </row>
    <row r="1818" spans="9:11" ht="15" customHeight="1">
      <c r="I1818" s="35"/>
      <c r="J1818" s="35"/>
      <c r="K1818" s="35"/>
    </row>
    <row r="1819" spans="9:11" ht="15" customHeight="1">
      <c r="I1819" s="35"/>
      <c r="J1819" s="35"/>
      <c r="K1819" s="35"/>
    </row>
    <row r="1820" spans="9:11" ht="15" customHeight="1">
      <c r="I1820" s="35"/>
      <c r="J1820" s="35"/>
      <c r="K1820" s="35"/>
    </row>
    <row r="1821" spans="9:11" ht="15" customHeight="1">
      <c r="I1821" s="35"/>
      <c r="J1821" s="35"/>
      <c r="K1821" s="35"/>
    </row>
    <row r="1822" spans="9:11" ht="15" customHeight="1">
      <c r="I1822" s="35"/>
      <c r="J1822" s="35"/>
      <c r="K1822" s="35"/>
    </row>
    <row r="1823" spans="9:11" ht="15" customHeight="1">
      <c r="I1823" s="35"/>
      <c r="J1823" s="35"/>
      <c r="K1823" s="35"/>
    </row>
    <row r="1824" spans="9:11" ht="15" customHeight="1">
      <c r="I1824" s="35"/>
      <c r="J1824" s="35"/>
      <c r="K1824" s="35"/>
    </row>
    <row r="1825" spans="9:11" ht="15" customHeight="1">
      <c r="I1825" s="35"/>
      <c r="J1825" s="35"/>
      <c r="K1825" s="35"/>
    </row>
    <row r="1826" spans="9:11" ht="15" customHeight="1">
      <c r="I1826" s="35"/>
      <c r="J1826" s="35"/>
      <c r="K1826" s="35"/>
    </row>
    <row r="1827" spans="9:11" ht="15" customHeight="1">
      <c r="I1827" s="35"/>
      <c r="J1827" s="35"/>
      <c r="K1827" s="35"/>
    </row>
    <row r="1828" spans="9:11" ht="15" customHeight="1">
      <c r="I1828" s="35"/>
      <c r="J1828" s="35"/>
      <c r="K1828" s="35"/>
    </row>
    <row r="1829" spans="9:11" ht="15" customHeight="1">
      <c r="I1829" s="35"/>
      <c r="J1829" s="35"/>
      <c r="K1829" s="35"/>
    </row>
    <row r="1830" spans="9:11" ht="15" customHeight="1">
      <c r="I1830" s="35"/>
      <c r="J1830" s="35"/>
      <c r="K1830" s="35"/>
    </row>
    <row r="1831" spans="9:11" ht="15" customHeight="1">
      <c r="I1831" s="35"/>
      <c r="J1831" s="35"/>
      <c r="K1831" s="35"/>
    </row>
    <row r="1832" spans="9:11" ht="15" customHeight="1">
      <c r="I1832" s="35"/>
      <c r="J1832" s="35"/>
      <c r="K1832" s="35"/>
    </row>
    <row r="1833" spans="9:11" ht="15" customHeight="1">
      <c r="I1833" s="35"/>
      <c r="J1833" s="35"/>
      <c r="K1833" s="35"/>
    </row>
    <row r="1834" spans="9:11" ht="15" customHeight="1">
      <c r="I1834" s="35"/>
      <c r="J1834" s="35"/>
      <c r="K1834" s="35"/>
    </row>
    <row r="1835" spans="9:11" ht="15" customHeight="1">
      <c r="I1835" s="35"/>
      <c r="J1835" s="35"/>
      <c r="K1835" s="35"/>
    </row>
    <row r="1836" spans="9:11" ht="15" customHeight="1">
      <c r="I1836" s="35"/>
      <c r="J1836" s="35"/>
      <c r="K1836" s="35"/>
    </row>
    <row r="1837" spans="9:11" ht="15" customHeight="1">
      <c r="I1837" s="35"/>
      <c r="J1837" s="35"/>
      <c r="K1837" s="35"/>
    </row>
    <row r="1838" spans="9:11" ht="15" customHeight="1">
      <c r="I1838" s="35"/>
      <c r="J1838" s="35"/>
      <c r="K1838" s="35"/>
    </row>
    <row r="1839" spans="9:11" ht="15" customHeight="1">
      <c r="I1839" s="35"/>
      <c r="J1839" s="35"/>
      <c r="K1839" s="35"/>
    </row>
    <row r="1840" spans="9:11" ht="15" customHeight="1">
      <c r="I1840" s="35"/>
      <c r="J1840" s="35"/>
      <c r="K1840" s="35"/>
    </row>
    <row r="1841" spans="9:11" ht="15" customHeight="1">
      <c r="I1841" s="35"/>
      <c r="J1841" s="35"/>
      <c r="K1841" s="35"/>
    </row>
    <row r="1842" spans="9:11" ht="15" customHeight="1">
      <c r="I1842" s="35"/>
      <c r="J1842" s="35"/>
      <c r="K1842" s="35"/>
    </row>
    <row r="1843" spans="9:11" ht="15" customHeight="1">
      <c r="I1843" s="35"/>
      <c r="J1843" s="35"/>
      <c r="K1843" s="35"/>
    </row>
    <row r="1844" spans="9:11" ht="15" customHeight="1">
      <c r="I1844" s="35"/>
      <c r="J1844" s="35"/>
      <c r="K1844" s="35"/>
    </row>
    <row r="1845" spans="9:11" ht="15" customHeight="1">
      <c r="I1845" s="35"/>
      <c r="J1845" s="35"/>
      <c r="K1845" s="35"/>
    </row>
    <row r="1846" spans="9:11" ht="15" customHeight="1">
      <c r="I1846" s="35"/>
      <c r="J1846" s="35"/>
      <c r="K1846" s="35"/>
    </row>
    <row r="1847" spans="9:11" ht="15" customHeight="1">
      <c r="I1847" s="35"/>
      <c r="J1847" s="35"/>
      <c r="K1847" s="35"/>
    </row>
    <row r="1848" spans="9:11" ht="15" customHeight="1">
      <c r="I1848" s="35"/>
      <c r="J1848" s="35"/>
      <c r="K1848" s="35"/>
    </row>
    <row r="1849" spans="9:11" ht="15" customHeight="1">
      <c r="I1849" s="35"/>
      <c r="J1849" s="35"/>
      <c r="K1849" s="35"/>
    </row>
    <row r="1850" spans="9:11" ht="15" customHeight="1">
      <c r="I1850" s="35"/>
      <c r="J1850" s="35"/>
      <c r="K1850" s="35"/>
    </row>
    <row r="1851" spans="9:11" ht="15" customHeight="1">
      <c r="I1851" s="35"/>
      <c r="J1851" s="35"/>
      <c r="K1851" s="35"/>
    </row>
    <row r="1852" spans="9:11" ht="15" customHeight="1">
      <c r="I1852" s="35"/>
      <c r="J1852" s="35"/>
      <c r="K1852" s="35"/>
    </row>
    <row r="1853" spans="9:11" ht="15" customHeight="1">
      <c r="I1853" s="35"/>
      <c r="J1853" s="35"/>
      <c r="K1853" s="35"/>
    </row>
    <row r="1854" spans="9:11" ht="15" customHeight="1">
      <c r="I1854" s="35"/>
      <c r="J1854" s="35"/>
      <c r="K1854" s="35"/>
    </row>
    <row r="1855" spans="9:11" ht="15" customHeight="1">
      <c r="I1855" s="35"/>
      <c r="J1855" s="35"/>
      <c r="K1855" s="35"/>
    </row>
    <row r="1856" spans="9:11" ht="15" customHeight="1">
      <c r="I1856" s="35"/>
      <c r="J1856" s="35"/>
      <c r="K1856" s="35"/>
    </row>
    <row r="1857" spans="9:11" ht="15" customHeight="1">
      <c r="I1857" s="35"/>
      <c r="J1857" s="35"/>
      <c r="K1857" s="35"/>
    </row>
    <row r="1858" spans="9:11" ht="15" customHeight="1">
      <c r="I1858" s="35"/>
      <c r="J1858" s="35"/>
      <c r="K1858" s="35"/>
    </row>
    <row r="1859" spans="9:11" ht="15" customHeight="1">
      <c r="I1859" s="35"/>
      <c r="J1859" s="35"/>
      <c r="K1859" s="35"/>
    </row>
    <row r="1860" spans="9:11" ht="15" customHeight="1">
      <c r="I1860" s="35"/>
      <c r="J1860" s="35"/>
      <c r="K1860" s="35"/>
    </row>
    <row r="1861" spans="9:11" ht="15" customHeight="1">
      <c r="I1861" s="35"/>
      <c r="J1861" s="35"/>
      <c r="K1861" s="35"/>
    </row>
    <row r="1862" spans="9:11" ht="15" customHeight="1">
      <c r="I1862" s="35"/>
      <c r="J1862" s="35"/>
      <c r="K1862" s="35"/>
    </row>
    <row r="1863" spans="9:11" ht="15" customHeight="1">
      <c r="I1863" s="35"/>
      <c r="J1863" s="35"/>
      <c r="K1863" s="35"/>
    </row>
    <row r="1864" spans="9:11" ht="15" customHeight="1">
      <c r="I1864" s="35"/>
      <c r="J1864" s="35"/>
      <c r="K1864" s="35"/>
    </row>
    <row r="1865" spans="9:11" ht="15" customHeight="1">
      <c r="I1865" s="35"/>
      <c r="J1865" s="35"/>
      <c r="K1865" s="35"/>
    </row>
    <row r="1866" spans="9:11" ht="15" customHeight="1">
      <c r="I1866" s="35"/>
      <c r="J1866" s="35"/>
      <c r="K1866" s="35"/>
    </row>
    <row r="1867" spans="9:11" ht="15" customHeight="1">
      <c r="I1867" s="35"/>
      <c r="J1867" s="35"/>
      <c r="K1867" s="35"/>
    </row>
    <row r="1868" spans="9:11" ht="15" customHeight="1">
      <c r="I1868" s="35"/>
      <c r="J1868" s="35"/>
      <c r="K1868" s="35"/>
    </row>
    <row r="1869" spans="9:11" ht="15" customHeight="1">
      <c r="I1869" s="35"/>
      <c r="J1869" s="35"/>
      <c r="K1869" s="35"/>
    </row>
    <row r="1870" spans="9:11" ht="15" customHeight="1">
      <c r="I1870" s="35"/>
      <c r="J1870" s="35"/>
      <c r="K1870" s="35"/>
    </row>
    <row r="1871" spans="9:11" ht="15" customHeight="1">
      <c r="I1871" s="35"/>
      <c r="J1871" s="35"/>
      <c r="K1871" s="35"/>
    </row>
    <row r="1872" spans="9:11" ht="15" customHeight="1">
      <c r="I1872" s="35"/>
      <c r="J1872" s="35"/>
      <c r="K1872" s="35"/>
    </row>
    <row r="1873" spans="9:11" ht="15" customHeight="1">
      <c r="I1873" s="35"/>
      <c r="J1873" s="35"/>
      <c r="K1873" s="35"/>
    </row>
    <row r="1874" spans="9:11" ht="15" customHeight="1">
      <c r="I1874" s="35"/>
      <c r="J1874" s="35"/>
      <c r="K1874" s="35"/>
    </row>
    <row r="1875" spans="9:11" ht="15" customHeight="1">
      <c r="I1875" s="35"/>
      <c r="J1875" s="35"/>
      <c r="K1875" s="35"/>
    </row>
    <row r="1876" spans="9:11" ht="15" customHeight="1">
      <c r="I1876" s="35"/>
      <c r="J1876" s="35"/>
      <c r="K1876" s="35"/>
    </row>
    <row r="1877" spans="9:11" ht="15" customHeight="1">
      <c r="I1877" s="35"/>
      <c r="J1877" s="35"/>
      <c r="K1877" s="35"/>
    </row>
    <row r="1878" spans="9:11" ht="15" customHeight="1">
      <c r="I1878" s="35"/>
      <c r="J1878" s="35"/>
      <c r="K1878" s="35"/>
    </row>
    <row r="1879" spans="9:11" ht="15" customHeight="1">
      <c r="I1879" s="35"/>
      <c r="J1879" s="35"/>
      <c r="K1879" s="35"/>
    </row>
    <row r="1880" spans="9:11" ht="15" customHeight="1">
      <c r="I1880" s="35"/>
      <c r="J1880" s="35"/>
      <c r="K1880" s="35"/>
    </row>
    <row r="1881" spans="9:11" ht="15" customHeight="1">
      <c r="I1881" s="35"/>
      <c r="J1881" s="35"/>
      <c r="K1881" s="35"/>
    </row>
    <row r="1882" spans="9:11" ht="15" customHeight="1">
      <c r="I1882" s="35"/>
      <c r="J1882" s="35"/>
      <c r="K1882" s="35"/>
    </row>
    <row r="1883" spans="9:11" ht="15" customHeight="1">
      <c r="I1883" s="35"/>
      <c r="J1883" s="35"/>
      <c r="K1883" s="35"/>
    </row>
    <row r="1884" spans="9:11" ht="15" customHeight="1">
      <c r="I1884" s="35"/>
      <c r="J1884" s="35"/>
      <c r="K1884" s="35"/>
    </row>
    <row r="1885" spans="9:11" ht="15" customHeight="1">
      <c r="I1885" s="35"/>
      <c r="J1885" s="35"/>
      <c r="K1885" s="35"/>
    </row>
    <row r="1886" spans="9:11" ht="15" customHeight="1">
      <c r="I1886" s="35"/>
      <c r="J1886" s="35"/>
      <c r="K1886" s="35"/>
    </row>
    <row r="1887" spans="9:11" ht="15" customHeight="1">
      <c r="I1887" s="35"/>
      <c r="J1887" s="35"/>
      <c r="K1887" s="35"/>
    </row>
    <row r="1888" spans="9:11" ht="15" customHeight="1">
      <c r="I1888" s="35"/>
      <c r="J1888" s="35"/>
      <c r="K1888" s="35"/>
    </row>
    <row r="1889" spans="9:11" ht="15" customHeight="1">
      <c r="I1889" s="35"/>
      <c r="J1889" s="35"/>
      <c r="K1889" s="35"/>
    </row>
    <row r="1890" spans="9:11" ht="15" customHeight="1">
      <c r="I1890" s="35"/>
      <c r="J1890" s="35"/>
      <c r="K1890" s="35"/>
    </row>
    <row r="1891" spans="9:11" ht="15" customHeight="1">
      <c r="I1891" s="35"/>
      <c r="J1891" s="35"/>
      <c r="K1891" s="35"/>
    </row>
    <row r="1892" spans="9:11" ht="15" customHeight="1">
      <c r="I1892" s="35"/>
      <c r="J1892" s="35"/>
      <c r="K1892" s="35"/>
    </row>
    <row r="1893" spans="9:11" ht="15" customHeight="1">
      <c r="I1893" s="35"/>
      <c r="J1893" s="35"/>
      <c r="K1893" s="35"/>
    </row>
    <row r="1894" spans="9:11" ht="15" customHeight="1">
      <c r="I1894" s="35"/>
      <c r="J1894" s="35"/>
      <c r="K1894" s="35"/>
    </row>
    <row r="1895" spans="9:11" ht="15" customHeight="1">
      <c r="I1895" s="35"/>
      <c r="J1895" s="35"/>
      <c r="K1895" s="35"/>
    </row>
    <row r="1896" spans="9:11" ht="15" customHeight="1">
      <c r="I1896" s="35"/>
      <c r="J1896" s="35"/>
      <c r="K1896" s="35"/>
    </row>
    <row r="1897" spans="9:11" ht="15" customHeight="1">
      <c r="I1897" s="35"/>
      <c r="J1897" s="35"/>
      <c r="K1897" s="35"/>
    </row>
    <row r="1898" spans="9:11" ht="15" customHeight="1">
      <c r="I1898" s="35"/>
      <c r="J1898" s="35"/>
      <c r="K1898" s="35"/>
    </row>
    <row r="1899" spans="9:11" ht="15" customHeight="1">
      <c r="I1899" s="35"/>
      <c r="J1899" s="35"/>
      <c r="K1899" s="35"/>
    </row>
    <row r="1900" spans="9:11" ht="15" customHeight="1">
      <c r="I1900" s="35"/>
      <c r="J1900" s="35"/>
      <c r="K1900" s="35"/>
    </row>
    <row r="1901" spans="9:11" ht="15" customHeight="1">
      <c r="I1901" s="35"/>
      <c r="J1901" s="35"/>
      <c r="K1901" s="35"/>
    </row>
    <row r="1902" spans="9:11" ht="15" customHeight="1">
      <c r="I1902" s="35"/>
      <c r="J1902" s="35"/>
      <c r="K1902" s="35"/>
    </row>
    <row r="1903" spans="9:11" ht="15" customHeight="1">
      <c r="I1903" s="35"/>
      <c r="J1903" s="35"/>
      <c r="K1903" s="35"/>
    </row>
    <row r="1904" spans="9:11" ht="15" customHeight="1">
      <c r="I1904" s="35"/>
      <c r="J1904" s="35"/>
      <c r="K1904" s="35"/>
    </row>
    <row r="1905" spans="9:11" ht="15" customHeight="1">
      <c r="I1905" s="35"/>
      <c r="J1905" s="35"/>
      <c r="K1905" s="35"/>
    </row>
    <row r="1906" spans="9:11" ht="15" customHeight="1">
      <c r="I1906" s="35"/>
      <c r="J1906" s="35"/>
      <c r="K1906" s="35"/>
    </row>
    <row r="1907" spans="9:11" ht="15" customHeight="1">
      <c r="I1907" s="35"/>
      <c r="J1907" s="35"/>
      <c r="K1907" s="35"/>
    </row>
    <row r="1908" spans="9:11" ht="15" customHeight="1">
      <c r="I1908" s="35"/>
      <c r="J1908" s="35"/>
      <c r="K1908" s="35"/>
    </row>
    <row r="1909" spans="9:11" ht="15" customHeight="1">
      <c r="I1909" s="35"/>
      <c r="J1909" s="35"/>
      <c r="K1909" s="35"/>
    </row>
    <row r="1910" spans="9:11" ht="15" customHeight="1">
      <c r="I1910" s="35"/>
      <c r="J1910" s="35"/>
      <c r="K1910" s="35"/>
    </row>
    <row r="1911" spans="9:11" ht="15" customHeight="1">
      <c r="I1911" s="35"/>
      <c r="J1911" s="35"/>
      <c r="K1911" s="35"/>
    </row>
    <row r="1912" spans="9:11" ht="15" customHeight="1">
      <c r="I1912" s="35"/>
      <c r="J1912" s="35"/>
      <c r="K1912" s="35"/>
    </row>
    <row r="1913" spans="9:11" ht="15" customHeight="1">
      <c r="I1913" s="35"/>
      <c r="J1913" s="35"/>
      <c r="K1913" s="35"/>
    </row>
    <row r="1914" spans="9:11" ht="15" customHeight="1">
      <c r="I1914" s="35"/>
      <c r="J1914" s="35"/>
      <c r="K1914" s="35"/>
    </row>
    <row r="1915" spans="9:11" ht="15" customHeight="1">
      <c r="I1915" s="35"/>
      <c r="J1915" s="35"/>
      <c r="K1915" s="35"/>
    </row>
    <row r="1916" spans="9:11" ht="15" customHeight="1">
      <c r="I1916" s="35"/>
      <c r="J1916" s="35"/>
      <c r="K1916" s="35"/>
    </row>
    <row r="1917" spans="9:11" ht="15" customHeight="1">
      <c r="I1917" s="35"/>
      <c r="J1917" s="35"/>
      <c r="K1917" s="35"/>
    </row>
    <row r="1918" spans="9:11" ht="15" customHeight="1">
      <c r="I1918" s="35"/>
      <c r="J1918" s="35"/>
      <c r="K1918" s="35"/>
    </row>
    <row r="1919" spans="9:11" ht="15" customHeight="1">
      <c r="I1919" s="35"/>
      <c r="J1919" s="35"/>
      <c r="K1919" s="35"/>
    </row>
    <row r="1920" spans="9:11" ht="15" customHeight="1">
      <c r="I1920" s="35"/>
      <c r="J1920" s="35"/>
      <c r="K1920" s="35"/>
    </row>
    <row r="1921" spans="9:11" ht="15" customHeight="1">
      <c r="I1921" s="35"/>
      <c r="J1921" s="35"/>
      <c r="K1921" s="35"/>
    </row>
    <row r="1922" spans="9:11" ht="15" customHeight="1">
      <c r="I1922" s="35"/>
      <c r="J1922" s="35"/>
      <c r="K1922" s="35"/>
    </row>
    <row r="1923" spans="9:11" ht="15" customHeight="1">
      <c r="I1923" s="35"/>
      <c r="J1923" s="35"/>
      <c r="K1923" s="35"/>
    </row>
    <row r="1924" spans="9:11" ht="15" customHeight="1">
      <c r="I1924" s="35"/>
      <c r="J1924" s="35"/>
      <c r="K1924" s="35"/>
    </row>
    <row r="1925" spans="9:11" ht="15" customHeight="1">
      <c r="I1925" s="35"/>
      <c r="J1925" s="35"/>
      <c r="K1925" s="35"/>
    </row>
    <row r="1926" spans="9:11" ht="15" customHeight="1">
      <c r="I1926" s="35"/>
      <c r="J1926" s="35"/>
      <c r="K1926" s="35"/>
    </row>
    <row r="1927" spans="9:11" ht="15" customHeight="1">
      <c r="I1927" s="35"/>
      <c r="J1927" s="35"/>
      <c r="K1927" s="35"/>
    </row>
    <row r="1928" spans="9:11" ht="15" customHeight="1">
      <c r="I1928" s="35"/>
      <c r="J1928" s="35"/>
      <c r="K1928" s="35"/>
    </row>
    <row r="1929" spans="9:11" ht="15" customHeight="1">
      <c r="I1929" s="35"/>
      <c r="J1929" s="35"/>
      <c r="K1929" s="35"/>
    </row>
    <row r="1930" spans="9:11" ht="15" customHeight="1">
      <c r="I1930" s="35"/>
      <c r="J1930" s="35"/>
      <c r="K1930" s="35"/>
    </row>
    <row r="1931" spans="9:11" ht="15" customHeight="1">
      <c r="I1931" s="35"/>
      <c r="J1931" s="35"/>
      <c r="K1931" s="35"/>
    </row>
    <row r="1932" spans="9:11" ht="15" customHeight="1">
      <c r="I1932" s="35"/>
      <c r="J1932" s="35"/>
      <c r="K1932" s="35"/>
    </row>
    <row r="1933" spans="9:11" ht="15" customHeight="1">
      <c r="I1933" s="35"/>
      <c r="J1933" s="35"/>
      <c r="K1933" s="35"/>
    </row>
    <row r="1934" spans="9:11" ht="15" customHeight="1">
      <c r="I1934" s="35"/>
      <c r="J1934" s="35"/>
      <c r="K1934" s="35"/>
    </row>
    <row r="1935" spans="9:11" ht="15" customHeight="1">
      <c r="I1935" s="35"/>
      <c r="J1935" s="35"/>
      <c r="K1935" s="35"/>
    </row>
    <row r="1936" spans="9:11" ht="15" customHeight="1">
      <c r="I1936" s="35"/>
      <c r="J1936" s="35"/>
      <c r="K1936" s="35"/>
    </row>
    <row r="1937" spans="9:11" ht="15" customHeight="1">
      <c r="I1937" s="35"/>
      <c r="J1937" s="35"/>
      <c r="K1937" s="35"/>
    </row>
    <row r="1938" spans="9:11" ht="15" customHeight="1">
      <c r="I1938" s="35"/>
      <c r="J1938" s="35"/>
      <c r="K1938" s="35"/>
    </row>
    <row r="1939" spans="9:11" ht="15" customHeight="1">
      <c r="I1939" s="35"/>
      <c r="J1939" s="35"/>
      <c r="K1939" s="35"/>
    </row>
    <row r="1940" spans="9:11" ht="15" customHeight="1">
      <c r="I1940" s="35"/>
      <c r="J1940" s="35"/>
      <c r="K1940" s="35"/>
    </row>
    <row r="1941" spans="9:11" ht="15" customHeight="1">
      <c r="I1941" s="35"/>
      <c r="J1941" s="35"/>
      <c r="K1941" s="35"/>
    </row>
    <row r="1942" spans="9:11" ht="15" customHeight="1">
      <c r="I1942" s="35"/>
      <c r="J1942" s="35"/>
      <c r="K1942" s="35"/>
    </row>
    <row r="1943" spans="9:11" ht="15" customHeight="1">
      <c r="I1943" s="35"/>
      <c r="J1943" s="35"/>
      <c r="K1943" s="35"/>
    </row>
    <row r="1944" spans="9:11" ht="15" customHeight="1">
      <c r="I1944" s="35"/>
      <c r="J1944" s="35"/>
      <c r="K1944" s="35"/>
    </row>
    <row r="1945" spans="9:11" ht="15" customHeight="1">
      <c r="I1945" s="35"/>
      <c r="J1945" s="35"/>
      <c r="K1945" s="35"/>
    </row>
    <row r="1946" spans="9:11" ht="15" customHeight="1">
      <c r="I1946" s="35"/>
      <c r="J1946" s="35"/>
      <c r="K1946" s="35"/>
    </row>
    <row r="1947" spans="9:11" ht="15" customHeight="1">
      <c r="I1947" s="35"/>
      <c r="J1947" s="35"/>
      <c r="K1947" s="35"/>
    </row>
    <row r="1948" spans="9:11" ht="15" customHeight="1">
      <c r="I1948" s="35"/>
      <c r="J1948" s="35"/>
      <c r="K1948" s="35"/>
    </row>
    <row r="1949" spans="9:11" ht="15" customHeight="1">
      <c r="I1949" s="35"/>
      <c r="J1949" s="35"/>
      <c r="K1949" s="35"/>
    </row>
    <row r="1950" spans="9:11" ht="15" customHeight="1">
      <c r="I1950" s="35"/>
      <c r="J1950" s="35"/>
      <c r="K1950" s="35"/>
    </row>
    <row r="1951" spans="9:11" ht="15" customHeight="1">
      <c r="I1951" s="35"/>
      <c r="J1951" s="35"/>
      <c r="K1951" s="35"/>
    </row>
    <row r="1952" spans="9:11" ht="15" customHeight="1">
      <c r="I1952" s="35"/>
      <c r="J1952" s="35"/>
      <c r="K1952" s="35"/>
    </row>
    <row r="1953" spans="9:11" ht="15" customHeight="1">
      <c r="I1953" s="35"/>
      <c r="J1953" s="35"/>
      <c r="K1953" s="35"/>
    </row>
    <row r="1954" spans="9:11" ht="15" customHeight="1">
      <c r="I1954" s="35"/>
      <c r="J1954" s="35"/>
      <c r="K1954" s="35"/>
    </row>
    <row r="1955" spans="9:11" ht="15" customHeight="1">
      <c r="I1955" s="35"/>
      <c r="J1955" s="35"/>
      <c r="K1955" s="35"/>
    </row>
    <row r="1956" spans="9:11" ht="15" customHeight="1">
      <c r="I1956" s="35"/>
      <c r="J1956" s="35"/>
      <c r="K1956" s="35"/>
    </row>
    <row r="1957" spans="9:11" ht="15" customHeight="1">
      <c r="I1957" s="35"/>
      <c r="J1957" s="35"/>
      <c r="K1957" s="35"/>
    </row>
    <row r="1958" spans="9:11" ht="15" customHeight="1">
      <c r="I1958" s="35"/>
      <c r="J1958" s="35"/>
      <c r="K1958" s="35"/>
    </row>
    <row r="1959" spans="9:11" ht="15" customHeight="1">
      <c r="I1959" s="35"/>
      <c r="J1959" s="35"/>
      <c r="K1959" s="35"/>
    </row>
    <row r="1960" spans="9:11" ht="15" customHeight="1">
      <c r="I1960" s="35"/>
      <c r="J1960" s="35"/>
      <c r="K1960" s="35"/>
    </row>
    <row r="1961" spans="9:11" ht="15" customHeight="1">
      <c r="I1961" s="35"/>
      <c r="J1961" s="35"/>
      <c r="K1961" s="35"/>
    </row>
    <row r="1962" spans="9:11" ht="15" customHeight="1">
      <c r="I1962" s="35"/>
      <c r="J1962" s="35"/>
      <c r="K1962" s="35"/>
    </row>
    <row r="1963" spans="9:11" ht="15" customHeight="1">
      <c r="I1963" s="35"/>
      <c r="J1963" s="35"/>
      <c r="K1963" s="35"/>
    </row>
    <row r="1964" spans="9:11" ht="15" customHeight="1">
      <c r="I1964" s="35"/>
      <c r="J1964" s="35"/>
      <c r="K1964" s="35"/>
    </row>
    <row r="1965" spans="9:11" ht="15" customHeight="1">
      <c r="I1965" s="35"/>
      <c r="J1965" s="35"/>
      <c r="K1965" s="35"/>
    </row>
    <row r="1966" spans="9:11" ht="15" customHeight="1">
      <c r="I1966" s="35"/>
      <c r="J1966" s="35"/>
      <c r="K1966" s="35"/>
    </row>
    <row r="1967" spans="9:11" ht="15" customHeight="1">
      <c r="I1967" s="35"/>
      <c r="J1967" s="35"/>
      <c r="K1967" s="35"/>
    </row>
    <row r="1968" spans="9:11" ht="15" customHeight="1">
      <c r="I1968" s="35"/>
      <c r="J1968" s="35"/>
      <c r="K1968" s="35"/>
    </row>
    <row r="1969" spans="9:11" ht="15" customHeight="1">
      <c r="I1969" s="35"/>
      <c r="J1969" s="35"/>
      <c r="K1969" s="35"/>
    </row>
    <row r="1970" spans="9:11" ht="15" customHeight="1">
      <c r="I1970" s="35"/>
      <c r="J1970" s="35"/>
      <c r="K1970" s="35"/>
    </row>
    <row r="1971" spans="9:11" ht="15" customHeight="1">
      <c r="I1971" s="35"/>
      <c r="J1971" s="35"/>
      <c r="K1971" s="35"/>
    </row>
    <row r="1972" spans="9:11" ht="15" customHeight="1">
      <c r="I1972" s="35"/>
      <c r="J1972" s="35"/>
      <c r="K1972" s="35"/>
    </row>
    <row r="1973" spans="9:11" ht="15" customHeight="1">
      <c r="I1973" s="35"/>
      <c r="J1973" s="35"/>
      <c r="K1973" s="35"/>
    </row>
    <row r="1974" spans="9:11" ht="15" customHeight="1">
      <c r="I1974" s="35"/>
      <c r="J1974" s="35"/>
      <c r="K1974" s="35"/>
    </row>
    <row r="1975" spans="9:11" ht="15" customHeight="1">
      <c r="I1975" s="35"/>
      <c r="J1975" s="35"/>
      <c r="K1975" s="35"/>
    </row>
    <row r="1976" spans="9:11" ht="15" customHeight="1">
      <c r="I1976" s="35"/>
      <c r="J1976" s="35"/>
      <c r="K1976" s="35"/>
    </row>
    <row r="1977" spans="9:11" ht="15" customHeight="1">
      <c r="I1977" s="35"/>
      <c r="J1977" s="35"/>
      <c r="K1977" s="35"/>
    </row>
    <row r="1978" spans="9:11" ht="15" customHeight="1">
      <c r="I1978" s="35"/>
      <c r="J1978" s="35"/>
      <c r="K1978" s="35"/>
    </row>
    <row r="1979" spans="9:11" ht="15" customHeight="1">
      <c r="I1979" s="35"/>
      <c r="J1979" s="35"/>
      <c r="K1979" s="35"/>
    </row>
    <row r="1980" spans="9:11" ht="15" customHeight="1">
      <c r="I1980" s="35"/>
      <c r="J1980" s="35"/>
      <c r="K1980" s="35"/>
    </row>
    <row r="1981" spans="9:11" ht="15" customHeight="1">
      <c r="I1981" s="35"/>
      <c r="J1981" s="35"/>
      <c r="K1981" s="35"/>
    </row>
    <row r="1982" spans="9:11" ht="15" customHeight="1">
      <c r="I1982" s="35"/>
      <c r="J1982" s="35"/>
      <c r="K1982" s="35"/>
    </row>
    <row r="1983" spans="9:11" ht="15" customHeight="1">
      <c r="I1983" s="35"/>
      <c r="J1983" s="35"/>
      <c r="K1983" s="35"/>
    </row>
    <row r="1984" spans="9:11" ht="15" customHeight="1">
      <c r="I1984" s="35"/>
      <c r="J1984" s="35"/>
      <c r="K1984" s="35"/>
    </row>
    <row r="1985" spans="9:11" ht="15" customHeight="1">
      <c r="I1985" s="35"/>
      <c r="J1985" s="35"/>
      <c r="K1985" s="35"/>
    </row>
    <row r="1986" spans="9:11" ht="15" customHeight="1">
      <c r="I1986" s="35"/>
      <c r="J1986" s="35"/>
      <c r="K1986" s="35"/>
    </row>
    <row r="1987" spans="9:11" ht="15" customHeight="1">
      <c r="I1987" s="35"/>
      <c r="J1987" s="35"/>
      <c r="K1987" s="35"/>
    </row>
    <row r="1988" spans="9:11" ht="15" customHeight="1">
      <c r="I1988" s="35"/>
      <c r="J1988" s="35"/>
      <c r="K1988" s="35"/>
    </row>
    <row r="1989" spans="9:11" ht="15" customHeight="1">
      <c r="I1989" s="35"/>
      <c r="J1989" s="35"/>
      <c r="K1989" s="35"/>
    </row>
    <row r="1990" spans="9:11" ht="15" customHeight="1">
      <c r="I1990" s="35"/>
      <c r="J1990" s="35"/>
      <c r="K1990" s="35"/>
    </row>
    <row r="1991" spans="9:11" ht="15" customHeight="1">
      <c r="I1991" s="35"/>
      <c r="J1991" s="35"/>
      <c r="K1991" s="35"/>
    </row>
    <row r="1992" spans="9:11" ht="15" customHeight="1">
      <c r="I1992" s="35"/>
      <c r="J1992" s="35"/>
      <c r="K1992" s="35"/>
    </row>
    <row r="1993" spans="9:11" ht="15" customHeight="1">
      <c r="I1993" s="35"/>
      <c r="J1993" s="35"/>
      <c r="K1993" s="35"/>
    </row>
    <row r="1994" spans="9:11" ht="15" customHeight="1">
      <c r="I1994" s="35"/>
      <c r="J1994" s="35"/>
      <c r="K1994" s="35"/>
    </row>
    <row r="1995" spans="9:11" ht="15" customHeight="1">
      <c r="I1995" s="35"/>
      <c r="J1995" s="35"/>
      <c r="K1995" s="35"/>
    </row>
    <row r="1996" spans="9:11" ht="15" customHeight="1">
      <c r="I1996" s="35"/>
      <c r="J1996" s="35"/>
      <c r="K1996" s="35"/>
    </row>
    <row r="1997" spans="9:11" ht="15" customHeight="1">
      <c r="I1997" s="35"/>
      <c r="J1997" s="35"/>
      <c r="K1997" s="35"/>
    </row>
    <row r="1998" spans="9:11" ht="15" customHeight="1">
      <c r="I1998" s="35"/>
      <c r="J1998" s="35"/>
      <c r="K1998" s="35"/>
    </row>
    <row r="1999" spans="9:11" ht="15" customHeight="1">
      <c r="I1999" s="35"/>
      <c r="J1999" s="35"/>
      <c r="K1999" s="35"/>
    </row>
    <row r="2000" spans="9:11" ht="15" customHeight="1">
      <c r="I2000" s="35"/>
      <c r="J2000" s="35"/>
      <c r="K2000" s="35"/>
    </row>
    <row r="2001" spans="9:11" ht="15" customHeight="1">
      <c r="I2001" s="35"/>
      <c r="J2001" s="35"/>
      <c r="K2001" s="35"/>
    </row>
    <row r="2002" spans="9:11" ht="15" customHeight="1">
      <c r="I2002" s="35"/>
      <c r="J2002" s="35"/>
      <c r="K2002" s="35"/>
    </row>
    <row r="2003" spans="9:11" ht="15" customHeight="1">
      <c r="I2003" s="35"/>
      <c r="J2003" s="35"/>
      <c r="K2003" s="35"/>
    </row>
    <row r="2004" spans="9:11" ht="15" customHeight="1">
      <c r="I2004" s="35"/>
      <c r="J2004" s="35"/>
      <c r="K2004" s="35"/>
    </row>
    <row r="2005" spans="9:11" ht="15" customHeight="1">
      <c r="I2005" s="35"/>
      <c r="J2005" s="35"/>
      <c r="K2005" s="35"/>
    </row>
    <row r="2006" spans="9:11" ht="15" customHeight="1">
      <c r="I2006" s="35"/>
      <c r="J2006" s="35"/>
      <c r="K2006" s="35"/>
    </row>
    <row r="2007" spans="9:11" ht="15" customHeight="1">
      <c r="I2007" s="35"/>
      <c r="J2007" s="35"/>
      <c r="K2007" s="35"/>
    </row>
    <row r="2008" spans="9:11" ht="15" customHeight="1">
      <c r="I2008" s="35"/>
      <c r="J2008" s="35"/>
      <c r="K2008" s="35"/>
    </row>
    <row r="2009" spans="9:11" ht="15" customHeight="1">
      <c r="I2009" s="35"/>
      <c r="J2009" s="35"/>
      <c r="K2009" s="35"/>
    </row>
    <row r="2010" spans="9:11" ht="15" customHeight="1">
      <c r="I2010" s="35"/>
      <c r="J2010" s="35"/>
      <c r="K2010" s="35"/>
    </row>
    <row r="2011" spans="9:11" ht="15" customHeight="1">
      <c r="I2011" s="35"/>
      <c r="J2011" s="35"/>
      <c r="K2011" s="35"/>
    </row>
    <row r="2012" spans="9:11" ht="15" customHeight="1">
      <c r="I2012" s="35"/>
      <c r="J2012" s="35"/>
      <c r="K2012" s="35"/>
    </row>
    <row r="2013" spans="9:11" ht="15" customHeight="1">
      <c r="I2013" s="35"/>
      <c r="J2013" s="35"/>
      <c r="K2013" s="35"/>
    </row>
    <row r="2014" spans="9:11" ht="15" customHeight="1">
      <c r="I2014" s="35"/>
      <c r="J2014" s="35"/>
      <c r="K2014" s="35"/>
    </row>
    <row r="2015" spans="9:11" ht="15" customHeight="1">
      <c r="I2015" s="35"/>
      <c r="J2015" s="35"/>
      <c r="K2015" s="35"/>
    </row>
    <row r="2016" spans="9:11" ht="15" customHeight="1">
      <c r="I2016" s="35"/>
      <c r="J2016" s="35"/>
      <c r="K2016" s="35"/>
    </row>
    <row r="2017" spans="9:11" ht="15" customHeight="1">
      <c r="I2017" s="35"/>
      <c r="J2017" s="35"/>
      <c r="K2017" s="35"/>
    </row>
    <row r="2018" spans="9:11" ht="15" customHeight="1">
      <c r="I2018" s="35"/>
      <c r="J2018" s="35"/>
      <c r="K2018" s="35"/>
    </row>
    <row r="2019" spans="9:11" ht="15" customHeight="1">
      <c r="I2019" s="35"/>
      <c r="J2019" s="35"/>
      <c r="K2019" s="35"/>
    </row>
    <row r="2020" spans="9:11" ht="15" customHeight="1">
      <c r="I2020" s="35"/>
      <c r="J2020" s="35"/>
      <c r="K2020" s="35"/>
    </row>
    <row r="2021" spans="9:11" ht="15" customHeight="1">
      <c r="I2021" s="35"/>
      <c r="J2021" s="35"/>
      <c r="K2021" s="35"/>
    </row>
    <row r="2022" spans="9:11" ht="15" customHeight="1">
      <c r="I2022" s="35"/>
      <c r="J2022" s="35"/>
      <c r="K2022" s="35"/>
    </row>
    <row r="2023" spans="9:11" ht="15" customHeight="1">
      <c r="I2023" s="35"/>
      <c r="J2023" s="35"/>
      <c r="K2023" s="35"/>
    </row>
    <row r="2024" spans="9:11" ht="15" customHeight="1">
      <c r="I2024" s="35"/>
      <c r="J2024" s="35"/>
      <c r="K2024" s="35"/>
    </row>
    <row r="2025" spans="9:11" ht="15" customHeight="1">
      <c r="I2025" s="35"/>
      <c r="J2025" s="35"/>
      <c r="K2025" s="35"/>
    </row>
    <row r="2026" spans="9:11" ht="15" customHeight="1">
      <c r="I2026" s="35"/>
      <c r="J2026" s="35"/>
      <c r="K2026" s="35"/>
    </row>
    <row r="2027" spans="9:11" ht="15" customHeight="1">
      <c r="I2027" s="35"/>
      <c r="J2027" s="35"/>
      <c r="K2027" s="35"/>
    </row>
    <row r="2028" spans="9:11" ht="15" customHeight="1">
      <c r="I2028" s="35"/>
      <c r="J2028" s="35"/>
      <c r="K2028" s="35"/>
    </row>
    <row r="2029" spans="9:11" ht="15" customHeight="1">
      <c r="I2029" s="35"/>
      <c r="J2029" s="35"/>
      <c r="K2029" s="35"/>
    </row>
    <row r="2030" spans="9:11" ht="15" customHeight="1">
      <c r="I2030" s="35"/>
      <c r="J2030" s="35"/>
      <c r="K2030" s="35"/>
    </row>
    <row r="2031" spans="9:11" ht="15" customHeight="1">
      <c r="I2031" s="35"/>
      <c r="J2031" s="35"/>
      <c r="K2031" s="35"/>
    </row>
    <row r="2032" spans="9:11" ht="15" customHeight="1">
      <c r="I2032" s="35"/>
      <c r="J2032" s="35"/>
      <c r="K2032" s="35"/>
    </row>
    <row r="2033" spans="9:11" ht="15" customHeight="1">
      <c r="I2033" s="35"/>
      <c r="J2033" s="35"/>
      <c r="K2033" s="35"/>
    </row>
    <row r="2034" spans="9:11" ht="15" customHeight="1">
      <c r="I2034" s="35"/>
      <c r="J2034" s="35"/>
      <c r="K2034" s="35"/>
    </row>
    <row r="2035" spans="9:11" ht="15" customHeight="1">
      <c r="I2035" s="35"/>
      <c r="J2035" s="35"/>
      <c r="K2035" s="35"/>
    </row>
    <row r="2036" spans="9:11" ht="15" customHeight="1">
      <c r="I2036" s="35"/>
      <c r="J2036" s="35"/>
      <c r="K2036" s="35"/>
    </row>
    <row r="2037" spans="9:11" ht="15" customHeight="1">
      <c r="I2037" s="35"/>
      <c r="J2037" s="35"/>
      <c r="K2037" s="35"/>
    </row>
    <row r="2038" spans="9:11" ht="15" customHeight="1">
      <c r="I2038" s="35"/>
      <c r="J2038" s="35"/>
      <c r="K2038" s="35"/>
    </row>
    <row r="2039" spans="9:11" ht="15" customHeight="1">
      <c r="I2039" s="35"/>
      <c r="J2039" s="35"/>
      <c r="K2039" s="35"/>
    </row>
    <row r="2040" spans="9:11" ht="15" customHeight="1">
      <c r="I2040" s="35"/>
      <c r="J2040" s="35"/>
      <c r="K2040" s="35"/>
    </row>
    <row r="2041" spans="9:11" ht="15" customHeight="1">
      <c r="I2041" s="35"/>
      <c r="J2041" s="35"/>
      <c r="K2041" s="35"/>
    </row>
    <row r="2042" spans="9:11" ht="15" customHeight="1">
      <c r="I2042" s="35"/>
      <c r="J2042" s="35"/>
      <c r="K2042" s="35"/>
    </row>
    <row r="2043" spans="9:11" ht="15" customHeight="1">
      <c r="I2043" s="35"/>
      <c r="J2043" s="35"/>
      <c r="K2043" s="35"/>
    </row>
    <row r="2044" spans="9:11" ht="15" customHeight="1">
      <c r="I2044" s="35"/>
      <c r="J2044" s="35"/>
      <c r="K2044" s="35"/>
    </row>
    <row r="2045" spans="9:11" ht="15" customHeight="1">
      <c r="I2045" s="35"/>
      <c r="J2045" s="35"/>
      <c r="K2045" s="35"/>
    </row>
    <row r="2046" spans="9:11" ht="15" customHeight="1">
      <c r="I2046" s="35"/>
      <c r="J2046" s="35"/>
      <c r="K2046" s="35"/>
    </row>
    <row r="2047" spans="9:11" ht="15" customHeight="1">
      <c r="I2047" s="35"/>
      <c r="J2047" s="35"/>
      <c r="K2047" s="35"/>
    </row>
    <row r="2048" spans="9:11" ht="15" customHeight="1">
      <c r="I2048" s="35"/>
      <c r="J2048" s="35"/>
      <c r="K2048" s="35"/>
    </row>
    <row r="2049" spans="9:11" ht="15" customHeight="1">
      <c r="I2049" s="35"/>
      <c r="J2049" s="35"/>
      <c r="K2049" s="35"/>
    </row>
    <row r="2050" spans="9:11" ht="15" customHeight="1">
      <c r="I2050" s="35"/>
      <c r="J2050" s="35"/>
      <c r="K2050" s="35"/>
    </row>
    <row r="2051" spans="9:11" ht="15" customHeight="1">
      <c r="I2051" s="35"/>
      <c r="J2051" s="35"/>
      <c r="K2051" s="35"/>
    </row>
    <row r="2052" spans="9:11" ht="15" customHeight="1">
      <c r="I2052" s="35"/>
      <c r="J2052" s="35"/>
      <c r="K2052" s="35"/>
    </row>
    <row r="2053" spans="9:11" ht="15" customHeight="1">
      <c r="I2053" s="35"/>
      <c r="J2053" s="35"/>
      <c r="K2053" s="35"/>
    </row>
    <row r="2054" spans="9:11" ht="15" customHeight="1">
      <c r="I2054" s="35"/>
      <c r="J2054" s="35"/>
      <c r="K2054" s="35"/>
    </row>
    <row r="2055" spans="9:11" ht="15" customHeight="1">
      <c r="I2055" s="35"/>
      <c r="J2055" s="35"/>
      <c r="K2055" s="35"/>
    </row>
    <row r="2056" spans="9:11" ht="15" customHeight="1">
      <c r="I2056" s="35"/>
      <c r="J2056" s="35"/>
      <c r="K2056" s="35"/>
    </row>
    <row r="2057" spans="9:11" ht="15" customHeight="1">
      <c r="I2057" s="35"/>
      <c r="J2057" s="35"/>
      <c r="K2057" s="35"/>
    </row>
    <row r="2058" spans="9:11" ht="15" customHeight="1">
      <c r="I2058" s="35"/>
      <c r="J2058" s="35"/>
      <c r="K2058" s="35"/>
    </row>
    <row r="2059" spans="9:11" ht="15" customHeight="1">
      <c r="I2059" s="35"/>
      <c r="J2059" s="35"/>
      <c r="K2059" s="35"/>
    </row>
    <row r="2060" spans="9:11" ht="15" customHeight="1">
      <c r="I2060" s="35"/>
      <c r="J2060" s="35"/>
      <c r="K2060" s="35"/>
    </row>
    <row r="2061" spans="9:11" ht="15" customHeight="1">
      <c r="I2061" s="35"/>
      <c r="J2061" s="35"/>
      <c r="K2061" s="35"/>
    </row>
    <row r="2062" spans="9:11" ht="15" customHeight="1">
      <c r="I2062" s="35"/>
      <c r="J2062" s="35"/>
      <c r="K2062" s="35"/>
    </row>
    <row r="2063" spans="9:11" ht="15" customHeight="1">
      <c r="I2063" s="35"/>
      <c r="J2063" s="35"/>
      <c r="K2063" s="35"/>
    </row>
    <row r="2064" spans="9:11" ht="15" customHeight="1">
      <c r="I2064" s="35"/>
      <c r="J2064" s="35"/>
      <c r="K2064" s="35"/>
    </row>
    <row r="2065" spans="9:11" ht="15" customHeight="1">
      <c r="I2065" s="35"/>
      <c r="J2065" s="35"/>
      <c r="K2065" s="35"/>
    </row>
    <row r="2066" spans="9:11" ht="15" customHeight="1">
      <c r="I2066" s="35"/>
      <c r="J2066" s="35"/>
      <c r="K2066" s="35"/>
    </row>
    <row r="2067" spans="9:11" ht="15" customHeight="1">
      <c r="I2067" s="35"/>
      <c r="J2067" s="35"/>
      <c r="K2067" s="35"/>
    </row>
    <row r="2068" spans="9:11" ht="15" customHeight="1">
      <c r="I2068" s="35"/>
      <c r="J2068" s="35"/>
      <c r="K2068" s="35"/>
    </row>
    <row r="2069" spans="9:11" ht="15" customHeight="1">
      <c r="I2069" s="35"/>
      <c r="J2069" s="35"/>
      <c r="K2069" s="35"/>
    </row>
    <row r="2070" spans="9:11" ht="15" customHeight="1">
      <c r="I2070" s="35"/>
      <c r="J2070" s="35"/>
      <c r="K2070" s="35"/>
    </row>
    <row r="2071" spans="9:11" ht="15" customHeight="1">
      <c r="I2071" s="35"/>
      <c r="J2071" s="35"/>
      <c r="K2071" s="35"/>
    </row>
    <row r="2072" spans="9:11" ht="15" customHeight="1">
      <c r="I2072" s="35"/>
      <c r="J2072" s="35"/>
      <c r="K2072" s="35"/>
    </row>
    <row r="2073" spans="9:11" ht="15" customHeight="1">
      <c r="I2073" s="35"/>
      <c r="J2073" s="35"/>
      <c r="K2073" s="35"/>
    </row>
    <row r="2074" spans="9:11" ht="15" customHeight="1">
      <c r="I2074" s="35"/>
      <c r="J2074" s="35"/>
      <c r="K2074" s="35"/>
    </row>
    <row r="2075" spans="9:11" ht="15" customHeight="1">
      <c r="I2075" s="35"/>
      <c r="J2075" s="35"/>
      <c r="K2075" s="35"/>
    </row>
    <row r="2076" spans="9:11" ht="15" customHeight="1">
      <c r="I2076" s="35"/>
      <c r="J2076" s="35"/>
      <c r="K2076" s="35"/>
    </row>
    <row r="2077" spans="9:11" ht="15" customHeight="1">
      <c r="I2077" s="35"/>
      <c r="J2077" s="35"/>
      <c r="K2077" s="35"/>
    </row>
    <row r="2078" spans="9:11" ht="15" customHeight="1">
      <c r="I2078" s="35"/>
      <c r="J2078" s="35"/>
      <c r="K2078" s="35"/>
    </row>
    <row r="2079" spans="9:11" ht="15" customHeight="1">
      <c r="I2079" s="35"/>
      <c r="J2079" s="35"/>
      <c r="K2079" s="35"/>
    </row>
    <row r="2080" spans="9:11" ht="15" customHeight="1">
      <c r="I2080" s="35"/>
      <c r="J2080" s="35"/>
      <c r="K2080" s="35"/>
    </row>
    <row r="2081" spans="9:11" ht="15" customHeight="1">
      <c r="I2081" s="35"/>
      <c r="J2081" s="35"/>
      <c r="K2081" s="35"/>
    </row>
    <row r="2082" spans="9:11" ht="15" customHeight="1">
      <c r="I2082" s="35"/>
      <c r="J2082" s="35"/>
      <c r="K2082" s="35"/>
    </row>
    <row r="2083" spans="9:11" ht="15" customHeight="1">
      <c r="I2083" s="35"/>
      <c r="J2083" s="35"/>
      <c r="K2083" s="35"/>
    </row>
    <row r="2084" spans="9:11" ht="15" customHeight="1">
      <c r="I2084" s="35"/>
      <c r="J2084" s="35"/>
      <c r="K2084" s="35"/>
    </row>
    <row r="2085" spans="9:11" ht="15" customHeight="1">
      <c r="I2085" s="35"/>
      <c r="J2085" s="35"/>
      <c r="K2085" s="35"/>
    </row>
    <row r="2086" spans="9:11" ht="15" customHeight="1">
      <c r="I2086" s="35"/>
      <c r="J2086" s="35"/>
      <c r="K2086" s="35"/>
    </row>
    <row r="2087" spans="9:11" ht="15" customHeight="1">
      <c r="I2087" s="35"/>
      <c r="J2087" s="35"/>
      <c r="K2087" s="35"/>
    </row>
    <row r="2088" spans="9:11" ht="15" customHeight="1">
      <c r="I2088" s="35"/>
      <c r="J2088" s="35"/>
      <c r="K2088" s="35"/>
    </row>
    <row r="2089" spans="9:11" ht="15" customHeight="1">
      <c r="I2089" s="35"/>
      <c r="J2089" s="35"/>
      <c r="K2089" s="35"/>
    </row>
    <row r="2090" spans="9:11" ht="15" customHeight="1">
      <c r="I2090" s="35"/>
      <c r="J2090" s="35"/>
      <c r="K2090" s="35"/>
    </row>
    <row r="2091" spans="9:11" ht="15" customHeight="1">
      <c r="I2091" s="35"/>
      <c r="J2091" s="35"/>
      <c r="K2091" s="35"/>
    </row>
    <row r="2092" spans="9:11" ht="15" customHeight="1">
      <c r="I2092" s="35"/>
      <c r="J2092" s="35"/>
      <c r="K2092" s="35"/>
    </row>
    <row r="2093" spans="9:11" ht="15" customHeight="1">
      <c r="I2093" s="35"/>
      <c r="J2093" s="35"/>
      <c r="K2093" s="35"/>
    </row>
    <row r="2094" spans="9:11" ht="15" customHeight="1">
      <c r="I2094" s="35"/>
      <c r="J2094" s="35"/>
      <c r="K2094" s="35"/>
    </row>
    <row r="2095" spans="9:11" ht="15" customHeight="1">
      <c r="I2095" s="35"/>
      <c r="J2095" s="35"/>
      <c r="K2095" s="35"/>
    </row>
    <row r="2096" spans="9:11" ht="15" customHeight="1">
      <c r="I2096" s="35"/>
      <c r="J2096" s="35"/>
      <c r="K2096" s="35"/>
    </row>
    <row r="2097" spans="9:11" ht="15" customHeight="1">
      <c r="I2097" s="35"/>
      <c r="J2097" s="35"/>
      <c r="K2097" s="35"/>
    </row>
    <row r="2098" spans="9:11" ht="15" customHeight="1">
      <c r="I2098" s="35"/>
      <c r="J2098" s="35"/>
      <c r="K2098" s="35"/>
    </row>
    <row r="2099" spans="9:11" ht="15" customHeight="1">
      <c r="I2099" s="35"/>
      <c r="J2099" s="35"/>
      <c r="K2099" s="35"/>
    </row>
    <row r="2100" spans="9:11" ht="15" customHeight="1">
      <c r="I2100" s="35"/>
      <c r="J2100" s="35"/>
      <c r="K2100" s="35"/>
    </row>
    <row r="2101" spans="9:11" ht="15" customHeight="1">
      <c r="I2101" s="35"/>
      <c r="J2101" s="35"/>
      <c r="K2101" s="35"/>
    </row>
    <row r="2102" spans="9:11" ht="15" customHeight="1">
      <c r="I2102" s="35"/>
      <c r="J2102" s="35"/>
      <c r="K2102" s="35"/>
    </row>
    <row r="2103" spans="9:11" ht="15" customHeight="1">
      <c r="I2103" s="35"/>
      <c r="J2103" s="35"/>
      <c r="K2103" s="35"/>
    </row>
    <row r="2104" spans="9:11" ht="15" customHeight="1">
      <c r="I2104" s="35"/>
      <c r="J2104" s="35"/>
      <c r="K2104" s="35"/>
    </row>
    <row r="2105" spans="9:11" ht="15" customHeight="1">
      <c r="I2105" s="35"/>
      <c r="J2105" s="35"/>
      <c r="K2105" s="35"/>
    </row>
    <row r="2106" spans="9:11" ht="15" customHeight="1">
      <c r="I2106" s="35"/>
      <c r="J2106" s="35"/>
      <c r="K2106" s="35"/>
    </row>
    <row r="2107" spans="9:11" ht="15" customHeight="1">
      <c r="I2107" s="35"/>
      <c r="J2107" s="35"/>
      <c r="K2107" s="35"/>
    </row>
    <row r="2108" spans="9:11" ht="15" customHeight="1">
      <c r="I2108" s="35"/>
      <c r="J2108" s="35"/>
      <c r="K2108" s="35"/>
    </row>
    <row r="2109" spans="9:11" ht="15" customHeight="1">
      <c r="I2109" s="35"/>
      <c r="J2109" s="35"/>
      <c r="K2109" s="35"/>
    </row>
    <row r="2110" spans="9:11" ht="15" customHeight="1">
      <c r="I2110" s="35"/>
      <c r="J2110" s="35"/>
      <c r="K2110" s="35"/>
    </row>
    <row r="2111" spans="9:11" ht="15" customHeight="1">
      <c r="I2111" s="35"/>
      <c r="J2111" s="35"/>
      <c r="K2111" s="35"/>
    </row>
    <row r="2112" spans="9:11" ht="15" customHeight="1">
      <c r="I2112" s="35"/>
      <c r="J2112" s="35"/>
      <c r="K2112" s="35"/>
    </row>
    <row r="2113" spans="9:11" ht="15" customHeight="1">
      <c r="I2113" s="35"/>
      <c r="J2113" s="35"/>
      <c r="K2113" s="35"/>
    </row>
    <row r="2114" spans="9:11" ht="15" customHeight="1">
      <c r="I2114" s="35"/>
      <c r="J2114" s="35"/>
      <c r="K2114" s="35"/>
    </row>
    <row r="2115" spans="9:11" ht="15" customHeight="1">
      <c r="I2115" s="35"/>
      <c r="J2115" s="35"/>
      <c r="K2115" s="35"/>
    </row>
    <row r="2116" spans="9:11" ht="15" customHeight="1">
      <c r="I2116" s="35"/>
      <c r="J2116" s="35"/>
      <c r="K2116" s="35"/>
    </row>
    <row r="2117" spans="9:11" ht="15" customHeight="1">
      <c r="I2117" s="35"/>
      <c r="J2117" s="35"/>
      <c r="K2117" s="35"/>
    </row>
    <row r="2118" spans="9:11" ht="15" customHeight="1">
      <c r="I2118" s="35"/>
      <c r="J2118" s="35"/>
      <c r="K2118" s="35"/>
    </row>
    <row r="2119" spans="9:11" ht="15" customHeight="1">
      <c r="I2119" s="35"/>
      <c r="J2119" s="35"/>
      <c r="K2119" s="35"/>
    </row>
    <row r="2120" spans="9:11" ht="15" customHeight="1">
      <c r="I2120" s="35"/>
      <c r="J2120" s="35"/>
      <c r="K2120" s="35"/>
    </row>
    <row r="2121" spans="9:11" ht="15" customHeight="1">
      <c r="I2121" s="35"/>
      <c r="J2121" s="35"/>
      <c r="K2121" s="35"/>
    </row>
    <row r="2122" spans="9:11" ht="15" customHeight="1">
      <c r="I2122" s="35"/>
      <c r="J2122" s="35"/>
      <c r="K2122" s="35"/>
    </row>
    <row r="2123" spans="9:11" ht="15" customHeight="1">
      <c r="I2123" s="35"/>
      <c r="J2123" s="35"/>
      <c r="K2123" s="35"/>
    </row>
    <row r="2124" spans="9:11" ht="15" customHeight="1">
      <c r="I2124" s="35"/>
      <c r="J2124" s="35"/>
      <c r="K2124" s="35"/>
    </row>
    <row r="2125" spans="9:11" ht="15" customHeight="1">
      <c r="I2125" s="35"/>
      <c r="J2125" s="35"/>
      <c r="K2125" s="35"/>
    </row>
    <row r="2126" spans="9:11" ht="15" customHeight="1">
      <c r="I2126" s="35"/>
      <c r="J2126" s="35"/>
      <c r="K2126" s="35"/>
    </row>
    <row r="2127" spans="9:11" ht="15" customHeight="1">
      <c r="I2127" s="35"/>
      <c r="J2127" s="35"/>
      <c r="K2127" s="35"/>
    </row>
    <row r="2128" spans="9:11" ht="15" customHeight="1">
      <c r="I2128" s="35"/>
      <c r="J2128" s="35"/>
      <c r="K2128" s="35"/>
    </row>
    <row r="2129" spans="9:11" ht="15" customHeight="1">
      <c r="I2129" s="35"/>
      <c r="J2129" s="35"/>
      <c r="K2129" s="35"/>
    </row>
    <row r="2130" spans="9:11" ht="15" customHeight="1">
      <c r="I2130" s="35"/>
      <c r="J2130" s="35"/>
      <c r="K2130" s="35"/>
    </row>
    <row r="2131" spans="9:11" ht="15" customHeight="1">
      <c r="I2131" s="35"/>
      <c r="J2131" s="35"/>
      <c r="K2131" s="35"/>
    </row>
    <row r="2132" spans="9:11" ht="15" customHeight="1">
      <c r="I2132" s="35"/>
      <c r="J2132" s="35"/>
      <c r="K2132" s="35"/>
    </row>
    <row r="2133" spans="9:11" ht="15" customHeight="1">
      <c r="I2133" s="35"/>
      <c r="J2133" s="35"/>
      <c r="K2133" s="35"/>
    </row>
    <row r="2134" spans="9:11" ht="15" customHeight="1">
      <c r="I2134" s="35"/>
      <c r="J2134" s="35"/>
      <c r="K2134" s="35"/>
    </row>
    <row r="2135" spans="9:11" ht="15" customHeight="1">
      <c r="I2135" s="35"/>
      <c r="J2135" s="35"/>
      <c r="K2135" s="35"/>
    </row>
    <row r="2136" spans="9:11" ht="15" customHeight="1">
      <c r="I2136" s="35"/>
      <c r="J2136" s="35"/>
      <c r="K2136" s="35"/>
    </row>
    <row r="2137" spans="9:11" ht="15" customHeight="1">
      <c r="I2137" s="35"/>
      <c r="J2137" s="35"/>
      <c r="K2137" s="35"/>
    </row>
    <row r="2138" spans="9:11" ht="15" customHeight="1">
      <c r="I2138" s="35"/>
      <c r="J2138" s="35"/>
      <c r="K2138" s="35"/>
    </row>
    <row r="2139" spans="9:11" ht="15" customHeight="1">
      <c r="I2139" s="35"/>
      <c r="J2139" s="35"/>
      <c r="K2139" s="35"/>
    </row>
    <row r="2140" spans="9:11" ht="15" customHeight="1">
      <c r="I2140" s="35"/>
      <c r="J2140" s="35"/>
      <c r="K2140" s="35"/>
    </row>
    <row r="2141" spans="9:11" ht="15" customHeight="1">
      <c r="I2141" s="35"/>
      <c r="J2141" s="35"/>
      <c r="K2141" s="35"/>
    </row>
    <row r="2142" spans="9:11" ht="15" customHeight="1">
      <c r="I2142" s="35"/>
      <c r="J2142" s="35"/>
      <c r="K2142" s="35"/>
    </row>
    <row r="2143" spans="9:11" ht="15" customHeight="1">
      <c r="I2143" s="35"/>
      <c r="J2143" s="35"/>
      <c r="K2143" s="35"/>
    </row>
    <row r="2144" spans="9:11" ht="15" customHeight="1">
      <c r="I2144" s="35"/>
      <c r="J2144" s="35"/>
      <c r="K2144" s="35"/>
    </row>
    <row r="2145" spans="9:11" ht="15" customHeight="1">
      <c r="I2145" s="35"/>
      <c r="J2145" s="35"/>
      <c r="K2145" s="35"/>
    </row>
    <row r="2146" spans="9:11" ht="15" customHeight="1">
      <c r="I2146" s="35"/>
      <c r="J2146" s="35"/>
      <c r="K2146" s="35"/>
    </row>
    <row r="2147" spans="9:11" ht="15" customHeight="1">
      <c r="I2147" s="35"/>
      <c r="J2147" s="35"/>
      <c r="K2147" s="35"/>
    </row>
    <row r="2148" spans="9:11" ht="15" customHeight="1">
      <c r="I2148" s="35"/>
      <c r="J2148" s="35"/>
      <c r="K2148" s="35"/>
    </row>
    <row r="2149" spans="9:11" ht="15" customHeight="1">
      <c r="I2149" s="35"/>
      <c r="J2149" s="35"/>
      <c r="K2149" s="35"/>
    </row>
    <row r="2150" spans="9:11" ht="15" customHeight="1">
      <c r="I2150" s="35"/>
      <c r="J2150" s="35"/>
      <c r="K2150" s="35"/>
    </row>
    <row r="2151" spans="9:11" ht="15" customHeight="1">
      <c r="I2151" s="35"/>
      <c r="J2151" s="35"/>
      <c r="K2151" s="35"/>
    </row>
    <row r="2152" spans="9:11" ht="15" customHeight="1">
      <c r="I2152" s="35"/>
      <c r="J2152" s="35"/>
      <c r="K2152" s="35"/>
    </row>
    <row r="2153" spans="9:11" ht="15" customHeight="1">
      <c r="I2153" s="35"/>
      <c r="J2153" s="35"/>
      <c r="K2153" s="35"/>
    </row>
    <row r="2154" spans="9:11" ht="15" customHeight="1">
      <c r="I2154" s="35"/>
      <c r="J2154" s="35"/>
      <c r="K2154" s="35"/>
    </row>
    <row r="2155" spans="9:11" ht="15" customHeight="1">
      <c r="I2155" s="35"/>
      <c r="J2155" s="35"/>
      <c r="K2155" s="35"/>
    </row>
    <row r="2156" spans="9:11" ht="15" customHeight="1">
      <c r="I2156" s="35"/>
      <c r="J2156" s="35"/>
      <c r="K2156" s="35"/>
    </row>
    <row r="2157" spans="9:11" ht="15" customHeight="1">
      <c r="I2157" s="35"/>
      <c r="J2157" s="35"/>
      <c r="K2157" s="35"/>
    </row>
    <row r="2158" spans="9:11" ht="15" customHeight="1">
      <c r="I2158" s="35"/>
      <c r="J2158" s="35"/>
      <c r="K2158" s="35"/>
    </row>
    <row r="2159" spans="9:11" ht="15" customHeight="1">
      <c r="I2159" s="35"/>
      <c r="J2159" s="35"/>
      <c r="K2159" s="35"/>
    </row>
    <row r="2160" spans="9:11" ht="15" customHeight="1">
      <c r="I2160" s="35"/>
      <c r="J2160" s="35"/>
      <c r="K2160" s="35"/>
    </row>
    <row r="2161" spans="9:11" ht="15" customHeight="1">
      <c r="I2161" s="35"/>
      <c r="J2161" s="35"/>
      <c r="K2161" s="35"/>
    </row>
    <row r="2162" spans="9:11" ht="15" customHeight="1">
      <c r="I2162" s="35"/>
      <c r="J2162" s="35"/>
      <c r="K2162" s="35"/>
    </row>
    <row r="2163" spans="9:11" ht="15" customHeight="1">
      <c r="I2163" s="35"/>
      <c r="J2163" s="35"/>
      <c r="K2163" s="35"/>
    </row>
    <row r="2164" spans="9:11" ht="15" customHeight="1">
      <c r="I2164" s="35"/>
      <c r="J2164" s="35"/>
      <c r="K2164" s="35"/>
    </row>
    <row r="2165" spans="9:11" ht="15" customHeight="1">
      <c r="I2165" s="35"/>
      <c r="J2165" s="35"/>
      <c r="K2165" s="35"/>
    </row>
    <row r="2166" spans="9:11" ht="15" customHeight="1">
      <c r="I2166" s="35"/>
      <c r="J2166" s="35"/>
      <c r="K2166" s="35"/>
    </row>
    <row r="2167" spans="9:11" ht="15" customHeight="1">
      <c r="I2167" s="35"/>
      <c r="J2167" s="35"/>
      <c r="K2167" s="35"/>
    </row>
    <row r="2168" spans="9:11" ht="15" customHeight="1">
      <c r="I2168" s="35"/>
      <c r="J2168" s="35"/>
      <c r="K2168" s="35"/>
    </row>
    <row r="2169" spans="9:11" ht="15" customHeight="1">
      <c r="I2169" s="35"/>
      <c r="J2169" s="35"/>
      <c r="K2169" s="35"/>
    </row>
    <row r="2170" spans="9:11" ht="15" customHeight="1">
      <c r="I2170" s="35"/>
      <c r="J2170" s="35"/>
      <c r="K2170" s="35"/>
    </row>
    <row r="2171" spans="9:11" ht="15" customHeight="1">
      <c r="I2171" s="35"/>
      <c r="J2171" s="35"/>
      <c r="K2171" s="35"/>
    </row>
    <row r="2172" spans="9:11" ht="15" customHeight="1">
      <c r="I2172" s="35"/>
      <c r="J2172" s="35"/>
      <c r="K2172" s="35"/>
    </row>
    <row r="2173" spans="9:11" ht="15" customHeight="1">
      <c r="I2173" s="35"/>
      <c r="J2173" s="35"/>
      <c r="K2173" s="35"/>
    </row>
    <row r="2174" spans="9:11" ht="15" customHeight="1">
      <c r="I2174" s="35"/>
      <c r="J2174" s="35"/>
      <c r="K2174" s="35"/>
    </row>
    <row r="2175" spans="9:11" ht="15" customHeight="1">
      <c r="I2175" s="35"/>
      <c r="J2175" s="35"/>
      <c r="K2175" s="35"/>
    </row>
    <row r="2176" spans="9:11" ht="15" customHeight="1">
      <c r="I2176" s="35"/>
      <c r="J2176" s="35"/>
      <c r="K2176" s="35"/>
    </row>
    <row r="2177" spans="9:11" ht="15" customHeight="1">
      <c r="I2177" s="35"/>
      <c r="J2177" s="35"/>
      <c r="K2177" s="35"/>
    </row>
    <row r="2178" spans="9:11" ht="15" customHeight="1">
      <c r="I2178" s="35"/>
      <c r="J2178" s="35"/>
      <c r="K2178" s="35"/>
    </row>
    <row r="2179" spans="9:11" ht="15" customHeight="1">
      <c r="I2179" s="35"/>
      <c r="J2179" s="35"/>
      <c r="K2179" s="35"/>
    </row>
    <row r="2180" spans="9:11" ht="15" customHeight="1">
      <c r="I2180" s="35"/>
      <c r="J2180" s="35"/>
      <c r="K2180" s="35"/>
    </row>
    <row r="2181" spans="9:11" ht="15" customHeight="1">
      <c r="I2181" s="35"/>
      <c r="J2181" s="35"/>
      <c r="K2181" s="35"/>
    </row>
    <row r="2182" spans="9:11" ht="15" customHeight="1">
      <c r="I2182" s="35"/>
      <c r="J2182" s="35"/>
      <c r="K2182" s="35"/>
    </row>
    <row r="2183" spans="9:11" ht="15" customHeight="1">
      <c r="I2183" s="35"/>
      <c r="J2183" s="35"/>
      <c r="K2183" s="35"/>
    </row>
    <row r="2184" spans="9:11" ht="15" customHeight="1">
      <c r="I2184" s="35"/>
      <c r="J2184" s="35"/>
      <c r="K2184" s="35"/>
    </row>
    <row r="2185" spans="9:11" ht="15" customHeight="1">
      <c r="I2185" s="35"/>
      <c r="J2185" s="35"/>
      <c r="K2185" s="35"/>
    </row>
    <row r="2186" spans="9:11" ht="15" customHeight="1">
      <c r="I2186" s="35"/>
      <c r="J2186" s="35"/>
      <c r="K2186" s="35"/>
    </row>
    <row r="2187" spans="9:11" ht="15" customHeight="1">
      <c r="I2187" s="35"/>
      <c r="J2187" s="35"/>
      <c r="K2187" s="35"/>
    </row>
    <row r="2188" spans="9:11" ht="15" customHeight="1">
      <c r="I2188" s="35"/>
      <c r="J2188" s="35"/>
      <c r="K2188" s="35"/>
    </row>
    <row r="2189" spans="9:11" ht="15" customHeight="1">
      <c r="I2189" s="35"/>
      <c r="J2189" s="35"/>
      <c r="K2189" s="35"/>
    </row>
    <row r="2190" spans="9:11" ht="15" customHeight="1">
      <c r="I2190" s="35"/>
      <c r="J2190" s="35"/>
      <c r="K2190" s="35"/>
    </row>
    <row r="2191" spans="9:11" ht="15" customHeight="1">
      <c r="I2191" s="35"/>
      <c r="J2191" s="35"/>
      <c r="K2191" s="35"/>
    </row>
    <row r="2192" spans="9:11" ht="15" customHeight="1">
      <c r="I2192" s="35"/>
      <c r="J2192" s="35"/>
      <c r="K2192" s="35"/>
    </row>
    <row r="2193" spans="9:11" ht="15" customHeight="1">
      <c r="I2193" s="35"/>
      <c r="J2193" s="35"/>
      <c r="K2193" s="35"/>
    </row>
    <row r="2194" spans="9:11" ht="15" customHeight="1">
      <c r="I2194" s="35"/>
      <c r="J2194" s="35"/>
      <c r="K2194" s="35"/>
    </row>
    <row r="2195" spans="9:11" ht="15" customHeight="1">
      <c r="I2195" s="35"/>
      <c r="J2195" s="35"/>
      <c r="K2195" s="35"/>
    </row>
    <row r="2196" spans="9:11" ht="15" customHeight="1">
      <c r="I2196" s="35"/>
      <c r="J2196" s="35"/>
      <c r="K2196" s="35"/>
    </row>
    <row r="2197" spans="9:11" ht="15" customHeight="1">
      <c r="I2197" s="35"/>
      <c r="J2197" s="35"/>
      <c r="K2197" s="35"/>
    </row>
    <row r="2198" spans="9:11" ht="15" customHeight="1">
      <c r="I2198" s="35"/>
      <c r="J2198" s="35"/>
      <c r="K2198" s="35"/>
    </row>
    <row r="2199" spans="9:11" ht="15" customHeight="1">
      <c r="I2199" s="35"/>
      <c r="J2199" s="35"/>
      <c r="K2199" s="35"/>
    </row>
    <row r="2200" spans="9:11" ht="15" customHeight="1">
      <c r="I2200" s="35"/>
      <c r="J2200" s="35"/>
      <c r="K2200" s="35"/>
    </row>
    <row r="2201" spans="9:11" ht="15" customHeight="1">
      <c r="I2201" s="35"/>
      <c r="J2201" s="35"/>
      <c r="K2201" s="35"/>
    </row>
    <row r="2202" spans="9:11" ht="15" customHeight="1">
      <c r="I2202" s="35"/>
      <c r="J2202" s="35"/>
      <c r="K2202" s="35"/>
    </row>
    <row r="2203" spans="9:11" ht="15" customHeight="1">
      <c r="I2203" s="35"/>
      <c r="J2203" s="35"/>
      <c r="K2203" s="35"/>
    </row>
    <row r="2204" spans="9:11" ht="15" customHeight="1">
      <c r="I2204" s="35"/>
      <c r="J2204" s="35"/>
      <c r="K2204" s="35"/>
    </row>
    <row r="2205" spans="9:11" ht="15" customHeight="1">
      <c r="I2205" s="35"/>
      <c r="J2205" s="35"/>
      <c r="K2205" s="35"/>
    </row>
    <row r="2206" spans="9:11" ht="15" customHeight="1">
      <c r="I2206" s="35"/>
      <c r="J2206" s="35"/>
      <c r="K2206" s="35"/>
    </row>
    <row r="2207" spans="9:11" ht="15" customHeight="1">
      <c r="I2207" s="35"/>
      <c r="J2207" s="35"/>
      <c r="K2207" s="35"/>
    </row>
    <row r="2208" spans="9:11" ht="15" customHeight="1">
      <c r="I2208" s="35"/>
      <c r="J2208" s="35"/>
      <c r="K2208" s="35"/>
    </row>
    <row r="2209" spans="9:11" ht="15" customHeight="1">
      <c r="I2209" s="35"/>
      <c r="J2209" s="35"/>
      <c r="K2209" s="35"/>
    </row>
    <row r="2210" spans="9:11" ht="15" customHeight="1">
      <c r="I2210" s="35"/>
      <c r="J2210" s="35"/>
      <c r="K2210" s="35"/>
    </row>
    <row r="2211" spans="9:11" ht="15" customHeight="1">
      <c r="I2211" s="35"/>
      <c r="J2211" s="35"/>
      <c r="K2211" s="35"/>
    </row>
    <row r="2212" spans="9:11" ht="15" customHeight="1">
      <c r="I2212" s="35"/>
      <c r="J2212" s="35"/>
      <c r="K2212" s="35"/>
    </row>
    <row r="2213" spans="9:11" ht="15" customHeight="1">
      <c r="I2213" s="35"/>
      <c r="J2213" s="35"/>
      <c r="K2213" s="35"/>
    </row>
    <row r="2214" spans="9:11" ht="15" customHeight="1">
      <c r="I2214" s="35"/>
      <c r="J2214" s="35"/>
      <c r="K2214" s="35"/>
    </row>
    <row r="2215" spans="9:11" ht="15" customHeight="1">
      <c r="I2215" s="35"/>
      <c r="J2215" s="35"/>
      <c r="K2215" s="35"/>
    </row>
    <row r="2216" spans="9:11" ht="15" customHeight="1">
      <c r="I2216" s="35"/>
      <c r="J2216" s="35"/>
      <c r="K2216" s="35"/>
    </row>
    <row r="2217" spans="9:11" ht="15" customHeight="1">
      <c r="I2217" s="35"/>
      <c r="J2217" s="35"/>
      <c r="K2217" s="35"/>
    </row>
    <row r="2218" spans="9:11" ht="15" customHeight="1">
      <c r="I2218" s="35"/>
      <c r="J2218" s="35"/>
      <c r="K2218" s="35"/>
    </row>
    <row r="2219" spans="9:11" ht="15" customHeight="1">
      <c r="I2219" s="35"/>
      <c r="J2219" s="35"/>
      <c r="K2219" s="35"/>
    </row>
    <row r="2220" spans="9:11" ht="15" customHeight="1">
      <c r="I2220" s="35"/>
      <c r="J2220" s="35"/>
      <c r="K2220" s="35"/>
    </row>
    <row r="2221" spans="9:11" ht="15" customHeight="1">
      <c r="I2221" s="35"/>
      <c r="J2221" s="35"/>
      <c r="K2221" s="35"/>
    </row>
    <row r="2222" spans="9:11" ht="15" customHeight="1">
      <c r="I2222" s="35"/>
      <c r="J2222" s="35"/>
      <c r="K2222" s="35"/>
    </row>
    <row r="2223" spans="9:11" ht="15" customHeight="1">
      <c r="I2223" s="35"/>
      <c r="J2223" s="35"/>
      <c r="K2223" s="35"/>
    </row>
    <row r="2224" spans="9:11" ht="15" customHeight="1">
      <c r="I2224" s="35"/>
      <c r="J2224" s="35"/>
      <c r="K2224" s="35"/>
    </row>
    <row r="2225" spans="9:11" ht="15" customHeight="1">
      <c r="I2225" s="35"/>
      <c r="J2225" s="35"/>
      <c r="K2225" s="35"/>
    </row>
    <row r="2226" spans="9:11" ht="15" customHeight="1">
      <c r="I2226" s="35"/>
      <c r="J2226" s="35"/>
      <c r="K2226" s="35"/>
    </row>
    <row r="2227" spans="9:11" ht="15" customHeight="1">
      <c r="I2227" s="35"/>
      <c r="J2227" s="35"/>
      <c r="K2227" s="35"/>
    </row>
    <row r="2228" spans="9:11" ht="15" customHeight="1">
      <c r="I2228" s="35"/>
      <c r="J2228" s="35"/>
      <c r="K2228" s="35"/>
    </row>
    <row r="2229" spans="9:11" ht="15" customHeight="1">
      <c r="I2229" s="35"/>
      <c r="J2229" s="35"/>
      <c r="K2229" s="35"/>
    </row>
    <row r="2230" spans="9:11" ht="15" customHeight="1">
      <c r="I2230" s="35"/>
      <c r="J2230" s="35"/>
      <c r="K2230" s="35"/>
    </row>
    <row r="2231" spans="9:11" ht="15" customHeight="1">
      <c r="I2231" s="35"/>
      <c r="J2231" s="35"/>
      <c r="K2231" s="35"/>
    </row>
    <row r="2232" spans="9:11" ht="15" customHeight="1">
      <c r="I2232" s="35"/>
      <c r="J2232" s="35"/>
      <c r="K2232" s="35"/>
    </row>
    <row r="2233" spans="9:11" ht="15" customHeight="1">
      <c r="I2233" s="35"/>
      <c r="J2233" s="35"/>
      <c r="K2233" s="35"/>
    </row>
    <row r="2234" spans="9:11" ht="15" customHeight="1">
      <c r="I2234" s="35"/>
      <c r="J2234" s="35"/>
      <c r="K2234" s="35"/>
    </row>
    <row r="2235" spans="9:11" ht="15" customHeight="1">
      <c r="I2235" s="35"/>
      <c r="J2235" s="35"/>
      <c r="K2235" s="35"/>
    </row>
    <row r="2236" spans="9:11" ht="15" customHeight="1">
      <c r="I2236" s="35"/>
      <c r="J2236" s="35"/>
      <c r="K2236" s="35"/>
    </row>
    <row r="2237" spans="9:11" ht="15" customHeight="1">
      <c r="I2237" s="35"/>
      <c r="J2237" s="35"/>
      <c r="K2237" s="35"/>
    </row>
    <row r="2238" spans="9:11" ht="15" customHeight="1">
      <c r="I2238" s="35"/>
      <c r="J2238" s="35"/>
      <c r="K2238" s="35"/>
    </row>
    <row r="2239" spans="9:11" ht="15" customHeight="1">
      <c r="I2239" s="35"/>
      <c r="J2239" s="35"/>
      <c r="K2239" s="35"/>
    </row>
    <row r="2240" spans="9:11" ht="15" customHeight="1">
      <c r="I2240" s="35"/>
      <c r="J2240" s="35"/>
      <c r="K2240" s="35"/>
    </row>
    <row r="2241" spans="9:11" ht="15" customHeight="1">
      <c r="I2241" s="35"/>
      <c r="J2241" s="35"/>
      <c r="K2241" s="35"/>
    </row>
    <row r="2242" spans="9:11" ht="15" customHeight="1">
      <c r="I2242" s="35"/>
      <c r="J2242" s="35"/>
      <c r="K2242" s="35"/>
    </row>
    <row r="2243" spans="9:11" ht="15" customHeight="1">
      <c r="I2243" s="35"/>
      <c r="J2243" s="35"/>
      <c r="K2243" s="35"/>
    </row>
    <row r="2244" spans="9:11" ht="15" customHeight="1">
      <c r="I2244" s="35"/>
      <c r="J2244" s="35"/>
      <c r="K2244" s="35"/>
    </row>
    <row r="2245" spans="9:11" ht="15" customHeight="1">
      <c r="I2245" s="35"/>
      <c r="J2245" s="35"/>
      <c r="K2245" s="35"/>
    </row>
    <row r="2246" spans="9:11" ht="15" customHeight="1">
      <c r="I2246" s="35"/>
      <c r="J2246" s="35"/>
      <c r="K2246" s="35"/>
    </row>
    <row r="2247" spans="9:11" ht="15" customHeight="1">
      <c r="I2247" s="35"/>
      <c r="J2247" s="35"/>
      <c r="K2247" s="35"/>
    </row>
    <row r="2248" spans="9:11" ht="15" customHeight="1">
      <c r="I2248" s="35"/>
      <c r="J2248" s="35"/>
      <c r="K2248" s="35"/>
    </row>
    <row r="2249" spans="9:11" ht="15" customHeight="1">
      <c r="I2249" s="35"/>
      <c r="J2249" s="35"/>
      <c r="K2249" s="35"/>
    </row>
    <row r="2250" spans="9:11" ht="15" customHeight="1">
      <c r="I2250" s="35"/>
      <c r="J2250" s="35"/>
      <c r="K2250" s="35"/>
    </row>
    <row r="2251" spans="9:11" ht="15" customHeight="1">
      <c r="I2251" s="35"/>
      <c r="J2251" s="35"/>
      <c r="K2251" s="35"/>
    </row>
    <row r="2252" spans="9:11" ht="15" customHeight="1">
      <c r="I2252" s="35"/>
      <c r="J2252" s="35"/>
      <c r="K2252" s="35"/>
    </row>
    <row r="2253" spans="9:11" ht="15" customHeight="1">
      <c r="I2253" s="35"/>
      <c r="J2253" s="35"/>
      <c r="K2253" s="35"/>
    </row>
    <row r="2254" spans="9:11" ht="15" customHeight="1">
      <c r="I2254" s="35"/>
      <c r="J2254" s="35"/>
      <c r="K2254" s="35"/>
    </row>
    <row r="2255" spans="9:11" ht="15" customHeight="1">
      <c r="I2255" s="35"/>
      <c r="J2255" s="35"/>
      <c r="K2255" s="35"/>
    </row>
    <row r="2256" spans="9:11" ht="15" customHeight="1">
      <c r="I2256" s="35"/>
      <c r="J2256" s="35"/>
      <c r="K2256" s="35"/>
    </row>
    <row r="2257" spans="9:11" ht="15" customHeight="1">
      <c r="I2257" s="35"/>
      <c r="J2257" s="35"/>
      <c r="K2257" s="35"/>
    </row>
    <row r="2258" spans="9:11" ht="15" customHeight="1">
      <c r="I2258" s="35"/>
      <c r="J2258" s="35"/>
      <c r="K2258" s="35"/>
    </row>
    <row r="2259" spans="9:11" ht="15" customHeight="1">
      <c r="I2259" s="35"/>
      <c r="J2259" s="35"/>
      <c r="K2259" s="35"/>
    </row>
    <row r="2260" spans="9:11" ht="15" customHeight="1">
      <c r="I2260" s="35"/>
      <c r="J2260" s="35"/>
      <c r="K2260" s="35"/>
    </row>
    <row r="2261" spans="9:11" ht="15" customHeight="1">
      <c r="I2261" s="35"/>
      <c r="J2261" s="35"/>
      <c r="K2261" s="35"/>
    </row>
    <row r="2262" spans="9:11" ht="15" customHeight="1">
      <c r="I2262" s="35"/>
      <c r="J2262" s="35"/>
      <c r="K2262" s="35"/>
    </row>
    <row r="2263" spans="9:11" ht="15" customHeight="1">
      <c r="I2263" s="35"/>
      <c r="J2263" s="35"/>
      <c r="K2263" s="35"/>
    </row>
    <row r="2264" spans="9:11" ht="15" customHeight="1">
      <c r="I2264" s="35"/>
      <c r="J2264" s="35"/>
      <c r="K2264" s="35"/>
    </row>
    <row r="2265" spans="9:11" ht="15" customHeight="1">
      <c r="I2265" s="35"/>
      <c r="J2265" s="35"/>
      <c r="K2265" s="35"/>
    </row>
    <row r="2266" spans="9:11" ht="15" customHeight="1">
      <c r="I2266" s="35"/>
      <c r="J2266" s="35"/>
      <c r="K2266" s="35"/>
    </row>
    <row r="2267" spans="9:11" ht="15" customHeight="1">
      <c r="I2267" s="35"/>
      <c r="J2267" s="35"/>
      <c r="K2267" s="35"/>
    </row>
    <row r="2268" spans="9:11" ht="15" customHeight="1">
      <c r="I2268" s="35"/>
      <c r="J2268" s="35"/>
      <c r="K2268" s="35"/>
    </row>
    <row r="2269" spans="9:11" ht="15" customHeight="1">
      <c r="I2269" s="35"/>
      <c r="J2269" s="35"/>
      <c r="K2269" s="35"/>
    </row>
    <row r="2270" spans="9:11" ht="15" customHeight="1">
      <c r="I2270" s="35"/>
      <c r="J2270" s="35"/>
      <c r="K2270" s="35"/>
    </row>
    <row r="2271" spans="9:11" ht="15" customHeight="1">
      <c r="I2271" s="35"/>
      <c r="J2271" s="35"/>
      <c r="K2271" s="35"/>
    </row>
    <row r="2272" spans="9:11" ht="15" customHeight="1">
      <c r="I2272" s="35"/>
      <c r="J2272" s="35"/>
      <c r="K2272" s="35"/>
    </row>
    <row r="2273" spans="9:11" ht="15" customHeight="1">
      <c r="I2273" s="35"/>
      <c r="J2273" s="35"/>
      <c r="K2273" s="35"/>
    </row>
    <row r="2274" spans="9:11" ht="15" customHeight="1">
      <c r="I2274" s="35"/>
      <c r="J2274" s="35"/>
      <c r="K2274" s="35"/>
    </row>
    <row r="2275" spans="9:11" ht="15" customHeight="1">
      <c r="I2275" s="35"/>
      <c r="J2275" s="35"/>
      <c r="K2275" s="35"/>
    </row>
    <row r="2276" spans="9:11" ht="15" customHeight="1">
      <c r="I2276" s="35"/>
      <c r="J2276" s="35"/>
      <c r="K2276" s="35"/>
    </row>
    <row r="2277" spans="9:11" ht="15" customHeight="1">
      <c r="I2277" s="35"/>
      <c r="J2277" s="35"/>
      <c r="K2277" s="35"/>
    </row>
    <row r="2278" spans="9:11" ht="15" customHeight="1">
      <c r="I2278" s="35"/>
      <c r="J2278" s="35"/>
      <c r="K2278" s="35"/>
    </row>
    <row r="2279" spans="9:11" ht="15" customHeight="1">
      <c r="I2279" s="35"/>
      <c r="J2279" s="35"/>
      <c r="K2279" s="35"/>
    </row>
    <row r="2280" spans="9:11" ht="15" customHeight="1">
      <c r="I2280" s="35"/>
      <c r="J2280" s="35"/>
      <c r="K2280" s="35"/>
    </row>
    <row r="2281" spans="9:11" ht="15" customHeight="1">
      <c r="I2281" s="35"/>
      <c r="J2281" s="35"/>
      <c r="K2281" s="35"/>
    </row>
    <row r="2282" spans="9:11" ht="15" customHeight="1">
      <c r="I2282" s="35"/>
      <c r="J2282" s="35"/>
      <c r="K2282" s="35"/>
    </row>
    <row r="2283" spans="9:11" ht="15" customHeight="1">
      <c r="I2283" s="35"/>
      <c r="J2283" s="35"/>
      <c r="K2283" s="35"/>
    </row>
    <row r="2284" spans="9:11" ht="15" customHeight="1">
      <c r="I2284" s="35"/>
      <c r="J2284" s="35"/>
      <c r="K2284" s="35"/>
    </row>
    <row r="2285" spans="9:11" ht="15" customHeight="1">
      <c r="I2285" s="35"/>
      <c r="J2285" s="35"/>
      <c r="K2285" s="35"/>
    </row>
    <row r="2286" spans="9:11" ht="15" customHeight="1">
      <c r="I2286" s="35"/>
      <c r="J2286" s="35"/>
      <c r="K2286" s="35"/>
    </row>
    <row r="2287" spans="9:11" ht="15" customHeight="1">
      <c r="I2287" s="35"/>
      <c r="J2287" s="35"/>
      <c r="K2287" s="35"/>
    </row>
    <row r="2288" spans="9:11" ht="15" customHeight="1">
      <c r="I2288" s="35"/>
      <c r="J2288" s="35"/>
      <c r="K2288" s="35"/>
    </row>
    <row r="2289" spans="9:11" ht="15" customHeight="1">
      <c r="I2289" s="35"/>
      <c r="J2289" s="35"/>
      <c r="K2289" s="35"/>
    </row>
    <row r="2290" spans="9:11" ht="15" customHeight="1">
      <c r="I2290" s="35"/>
      <c r="J2290" s="35"/>
      <c r="K2290" s="35"/>
    </row>
    <row r="2291" spans="9:11" ht="15" customHeight="1">
      <c r="I2291" s="35"/>
      <c r="J2291" s="35"/>
      <c r="K2291" s="35"/>
    </row>
    <row r="2292" spans="9:11" ht="15" customHeight="1">
      <c r="I2292" s="35"/>
      <c r="J2292" s="35"/>
      <c r="K2292" s="35"/>
    </row>
    <row r="2293" spans="9:11" ht="15" customHeight="1">
      <c r="I2293" s="35"/>
      <c r="J2293" s="35"/>
      <c r="K2293" s="35"/>
    </row>
    <row r="2294" spans="9:11" ht="15" customHeight="1">
      <c r="I2294" s="35"/>
      <c r="J2294" s="35"/>
      <c r="K2294" s="35"/>
    </row>
    <row r="2295" spans="9:11" ht="15" customHeight="1">
      <c r="I2295" s="35"/>
      <c r="J2295" s="35"/>
      <c r="K2295" s="35"/>
    </row>
    <row r="2296" spans="9:11" ht="15" customHeight="1">
      <c r="I2296" s="35"/>
      <c r="J2296" s="35"/>
      <c r="K2296" s="35"/>
    </row>
    <row r="2297" spans="9:11" ht="15" customHeight="1">
      <c r="I2297" s="35"/>
      <c r="J2297" s="35"/>
      <c r="K2297" s="35"/>
    </row>
    <row r="2298" spans="9:11" ht="15" customHeight="1">
      <c r="I2298" s="35"/>
      <c r="J2298" s="35"/>
      <c r="K2298" s="35"/>
    </row>
    <row r="2299" spans="9:11" ht="15" customHeight="1">
      <c r="I2299" s="35"/>
      <c r="J2299" s="35"/>
      <c r="K2299" s="35"/>
    </row>
    <row r="2300" spans="9:11" ht="15" customHeight="1">
      <c r="I2300" s="35"/>
      <c r="J2300" s="35"/>
      <c r="K2300" s="35"/>
    </row>
    <row r="2301" spans="9:11" ht="15" customHeight="1">
      <c r="I2301" s="35"/>
      <c r="J2301" s="35"/>
      <c r="K2301" s="35"/>
    </row>
    <row r="2302" spans="9:11" ht="15" customHeight="1">
      <c r="I2302" s="35"/>
      <c r="J2302" s="35"/>
      <c r="K2302" s="35"/>
    </row>
    <row r="2303" spans="9:11" ht="15" customHeight="1">
      <c r="I2303" s="35"/>
      <c r="J2303" s="35"/>
      <c r="K2303" s="35"/>
    </row>
    <row r="2304" spans="9:11" ht="15" customHeight="1">
      <c r="I2304" s="35"/>
      <c r="J2304" s="35"/>
      <c r="K2304" s="35"/>
    </row>
    <row r="2305" spans="9:11" ht="15" customHeight="1">
      <c r="I2305" s="35"/>
      <c r="J2305" s="35"/>
      <c r="K2305" s="35"/>
    </row>
    <row r="2306" spans="9:11" ht="15" customHeight="1">
      <c r="I2306" s="35"/>
      <c r="J2306" s="35"/>
      <c r="K2306" s="35"/>
    </row>
    <row r="2307" spans="9:11" ht="15" customHeight="1">
      <c r="I2307" s="35"/>
      <c r="J2307" s="35"/>
      <c r="K2307" s="35"/>
    </row>
    <row r="2308" spans="9:11" ht="15" customHeight="1">
      <c r="I2308" s="35"/>
      <c r="J2308" s="35"/>
      <c r="K2308" s="35"/>
    </row>
    <row r="2309" spans="9:11" ht="15" customHeight="1">
      <c r="I2309" s="35"/>
      <c r="J2309" s="35"/>
      <c r="K2309" s="35"/>
    </row>
    <row r="2310" spans="9:11" ht="15" customHeight="1">
      <c r="I2310" s="35"/>
      <c r="J2310" s="35"/>
      <c r="K2310" s="35"/>
    </row>
    <row r="2311" spans="9:11" ht="15" customHeight="1">
      <c r="I2311" s="35"/>
      <c r="J2311" s="35"/>
      <c r="K2311" s="35"/>
    </row>
    <row r="2312" spans="9:11" ht="15" customHeight="1">
      <c r="I2312" s="35"/>
      <c r="J2312" s="35"/>
      <c r="K2312" s="35"/>
    </row>
    <row r="2313" spans="9:11" ht="15" customHeight="1">
      <c r="I2313" s="35"/>
      <c r="J2313" s="35"/>
      <c r="K2313" s="35"/>
    </row>
    <row r="2314" spans="9:11" ht="15" customHeight="1">
      <c r="I2314" s="35"/>
      <c r="J2314" s="35"/>
      <c r="K2314" s="35"/>
    </row>
    <row r="2315" spans="9:11" ht="15" customHeight="1">
      <c r="I2315" s="35"/>
      <c r="J2315" s="35"/>
      <c r="K2315" s="35"/>
    </row>
    <row r="2316" spans="9:11" ht="15" customHeight="1">
      <c r="I2316" s="35"/>
      <c r="J2316" s="35"/>
      <c r="K2316" s="35"/>
    </row>
    <row r="2317" spans="9:11" ht="15" customHeight="1">
      <c r="I2317" s="35"/>
      <c r="J2317" s="35"/>
      <c r="K2317" s="35"/>
    </row>
    <row r="2318" spans="9:11" ht="15" customHeight="1">
      <c r="I2318" s="35"/>
      <c r="J2318" s="35"/>
      <c r="K2318" s="35"/>
    </row>
    <row r="2319" spans="9:11" ht="15" customHeight="1">
      <c r="I2319" s="35"/>
      <c r="J2319" s="35"/>
      <c r="K2319" s="35"/>
    </row>
    <row r="2320" spans="9:11" ht="15" customHeight="1">
      <c r="I2320" s="35"/>
      <c r="J2320" s="35"/>
      <c r="K2320" s="35"/>
    </row>
    <row r="2321" spans="9:11" ht="15" customHeight="1">
      <c r="I2321" s="35"/>
      <c r="J2321" s="35"/>
      <c r="K2321" s="35"/>
    </row>
    <row r="2322" spans="9:11" ht="15" customHeight="1">
      <c r="I2322" s="35"/>
      <c r="J2322" s="35"/>
      <c r="K2322" s="35"/>
    </row>
    <row r="2323" spans="9:11" ht="15" customHeight="1">
      <c r="I2323" s="35"/>
      <c r="J2323" s="35"/>
      <c r="K2323" s="35"/>
    </row>
    <row r="2324" spans="9:11" ht="15" customHeight="1">
      <c r="I2324" s="35"/>
      <c r="J2324" s="35"/>
      <c r="K2324" s="35"/>
    </row>
    <row r="2325" spans="9:11" ht="15" customHeight="1">
      <c r="I2325" s="35"/>
      <c r="J2325" s="35"/>
      <c r="K2325" s="35"/>
    </row>
    <row r="2326" spans="9:11" ht="15" customHeight="1">
      <c r="I2326" s="35"/>
      <c r="J2326" s="35"/>
      <c r="K2326" s="35"/>
    </row>
    <row r="2327" spans="9:11" ht="15" customHeight="1">
      <c r="I2327" s="35"/>
      <c r="J2327" s="35"/>
      <c r="K2327" s="35"/>
    </row>
    <row r="2328" spans="9:11" ht="15" customHeight="1">
      <c r="I2328" s="35"/>
      <c r="J2328" s="35"/>
      <c r="K2328" s="35"/>
    </row>
    <row r="2329" spans="9:11" ht="15" customHeight="1">
      <c r="I2329" s="35"/>
      <c r="J2329" s="35"/>
      <c r="K2329" s="35"/>
    </row>
    <row r="2330" spans="9:11" ht="15" customHeight="1">
      <c r="I2330" s="35"/>
      <c r="J2330" s="35"/>
      <c r="K2330" s="35"/>
    </row>
    <row r="2331" spans="9:11" ht="15" customHeight="1">
      <c r="I2331" s="35"/>
      <c r="J2331" s="35"/>
      <c r="K2331" s="35"/>
    </row>
    <row r="2332" spans="9:11" ht="15" customHeight="1">
      <c r="I2332" s="35"/>
      <c r="J2332" s="35"/>
      <c r="K2332" s="35"/>
    </row>
    <row r="2333" spans="9:11" ht="15" customHeight="1">
      <c r="I2333" s="35"/>
      <c r="J2333" s="35"/>
      <c r="K2333" s="35"/>
    </row>
    <row r="2334" spans="9:11" ht="15" customHeight="1">
      <c r="I2334" s="35"/>
      <c r="J2334" s="35"/>
      <c r="K2334" s="35"/>
    </row>
    <row r="2335" spans="9:11" ht="15" customHeight="1">
      <c r="I2335" s="35"/>
      <c r="J2335" s="35"/>
      <c r="K2335" s="35"/>
    </row>
    <row r="2336" spans="9:11" ht="15" customHeight="1">
      <c r="I2336" s="35"/>
      <c r="J2336" s="35"/>
      <c r="K2336" s="35"/>
    </row>
    <row r="2337" spans="9:11" ht="15" customHeight="1">
      <c r="I2337" s="35"/>
      <c r="J2337" s="35"/>
      <c r="K2337" s="35"/>
    </row>
    <row r="2338" spans="9:11" ht="15" customHeight="1">
      <c r="I2338" s="35"/>
      <c r="J2338" s="35"/>
      <c r="K2338" s="35"/>
    </row>
    <row r="2339" spans="9:11" ht="15" customHeight="1">
      <c r="I2339" s="35"/>
      <c r="J2339" s="35"/>
      <c r="K2339" s="35"/>
    </row>
    <row r="2340" spans="9:11" ht="15" customHeight="1">
      <c r="I2340" s="35"/>
      <c r="J2340" s="35"/>
      <c r="K2340" s="35"/>
    </row>
    <row r="2341" spans="9:11" ht="15" customHeight="1">
      <c r="I2341" s="35"/>
      <c r="J2341" s="35"/>
      <c r="K2341" s="35"/>
    </row>
    <row r="2342" spans="9:11" ht="15" customHeight="1">
      <c r="I2342" s="35"/>
      <c r="J2342" s="35"/>
      <c r="K2342" s="35"/>
    </row>
    <row r="2343" spans="9:11" ht="15" customHeight="1">
      <c r="I2343" s="35"/>
      <c r="J2343" s="35"/>
      <c r="K2343" s="35"/>
    </row>
    <row r="2344" spans="9:11" ht="15" customHeight="1">
      <c r="I2344" s="35"/>
      <c r="J2344" s="35"/>
      <c r="K2344" s="35"/>
    </row>
    <row r="2345" spans="9:11" ht="15" customHeight="1">
      <c r="I2345" s="35"/>
      <c r="J2345" s="35"/>
      <c r="K2345" s="35"/>
    </row>
    <row r="2346" spans="9:11" ht="15" customHeight="1">
      <c r="I2346" s="35"/>
      <c r="J2346" s="35"/>
      <c r="K2346" s="35"/>
    </row>
    <row r="2347" spans="9:11" ht="15" customHeight="1">
      <c r="I2347" s="35"/>
      <c r="J2347" s="35"/>
      <c r="K2347" s="35"/>
    </row>
    <row r="2348" spans="9:11" ht="15" customHeight="1">
      <c r="I2348" s="35"/>
      <c r="J2348" s="35"/>
      <c r="K2348" s="35"/>
    </row>
    <row r="2349" spans="9:11" ht="15" customHeight="1">
      <c r="I2349" s="35"/>
      <c r="J2349" s="35"/>
      <c r="K2349" s="35"/>
    </row>
    <row r="2350" spans="9:11" ht="15" customHeight="1">
      <c r="I2350" s="35"/>
      <c r="J2350" s="35"/>
      <c r="K2350" s="35"/>
    </row>
    <row r="2351" spans="9:11" ht="15" customHeight="1">
      <c r="I2351" s="35"/>
      <c r="J2351" s="35"/>
      <c r="K2351" s="35"/>
    </row>
    <row r="2352" spans="9:11" ht="15" customHeight="1">
      <c r="I2352" s="35"/>
      <c r="J2352" s="35"/>
      <c r="K2352" s="35"/>
    </row>
    <row r="2353" spans="9:11" ht="15" customHeight="1">
      <c r="I2353" s="35"/>
      <c r="J2353" s="35"/>
      <c r="K2353" s="35"/>
    </row>
    <row r="2354" spans="9:11" ht="15" customHeight="1">
      <c r="I2354" s="35"/>
      <c r="J2354" s="35"/>
      <c r="K2354" s="35"/>
    </row>
    <row r="2355" spans="9:11" ht="15" customHeight="1">
      <c r="I2355" s="35"/>
      <c r="J2355" s="35"/>
      <c r="K2355" s="35"/>
    </row>
    <row r="2356" spans="9:11" ht="15" customHeight="1">
      <c r="I2356" s="35"/>
      <c r="J2356" s="35"/>
      <c r="K2356" s="35"/>
    </row>
    <row r="2357" spans="9:11" ht="15" customHeight="1">
      <c r="I2357" s="35"/>
      <c r="J2357" s="35"/>
      <c r="K2357" s="35"/>
    </row>
    <row r="2358" spans="9:11" ht="15" customHeight="1">
      <c r="I2358" s="35"/>
      <c r="J2358" s="35"/>
      <c r="K2358" s="35"/>
    </row>
    <row r="2359" spans="9:11" ht="15" customHeight="1">
      <c r="I2359" s="35"/>
      <c r="J2359" s="35"/>
      <c r="K2359" s="35"/>
    </row>
    <row r="2360" spans="9:11" ht="15" customHeight="1">
      <c r="I2360" s="35"/>
      <c r="J2360" s="35"/>
      <c r="K2360" s="35"/>
    </row>
    <row r="2361" spans="9:11" ht="15" customHeight="1">
      <c r="I2361" s="35"/>
      <c r="J2361" s="35"/>
      <c r="K2361" s="35"/>
    </row>
    <row r="2362" spans="9:11" ht="15" customHeight="1">
      <c r="I2362" s="35"/>
      <c r="J2362" s="35"/>
      <c r="K2362" s="35"/>
    </row>
    <row r="2363" spans="9:11" ht="15" customHeight="1">
      <c r="I2363" s="35"/>
      <c r="J2363" s="35"/>
      <c r="K2363" s="35"/>
    </row>
    <row r="2364" spans="9:11" ht="15" customHeight="1">
      <c r="I2364" s="35"/>
      <c r="J2364" s="35"/>
      <c r="K2364" s="35"/>
    </row>
    <row r="2365" spans="9:11" ht="15" customHeight="1">
      <c r="I2365" s="35"/>
      <c r="J2365" s="35"/>
      <c r="K2365" s="35"/>
    </row>
    <row r="2366" spans="9:11" ht="15" customHeight="1">
      <c r="I2366" s="35"/>
      <c r="J2366" s="35"/>
      <c r="K2366" s="35"/>
    </row>
    <row r="2367" spans="9:11" ht="15" customHeight="1">
      <c r="I2367" s="35"/>
      <c r="J2367" s="35"/>
      <c r="K2367" s="35"/>
    </row>
    <row r="2368" spans="9:11" ht="15" customHeight="1">
      <c r="I2368" s="35"/>
      <c r="J2368" s="35"/>
      <c r="K2368" s="35"/>
    </row>
    <row r="2369" spans="9:11" ht="15" customHeight="1">
      <c r="I2369" s="35"/>
      <c r="J2369" s="35"/>
      <c r="K2369" s="35"/>
    </row>
    <row r="2370" spans="9:11" ht="15" customHeight="1">
      <c r="I2370" s="35"/>
      <c r="J2370" s="35"/>
      <c r="K2370" s="35"/>
    </row>
    <row r="2371" spans="9:11" ht="15" customHeight="1">
      <c r="I2371" s="35"/>
      <c r="J2371" s="35"/>
      <c r="K2371" s="35"/>
    </row>
    <row r="2372" spans="9:11" ht="15" customHeight="1">
      <c r="I2372" s="35"/>
      <c r="J2372" s="35"/>
      <c r="K2372" s="35"/>
    </row>
    <row r="2373" spans="9:11" ht="15" customHeight="1">
      <c r="I2373" s="35"/>
      <c r="J2373" s="35"/>
      <c r="K2373" s="35"/>
    </row>
    <row r="2374" spans="9:11" ht="15" customHeight="1">
      <c r="I2374" s="35"/>
      <c r="J2374" s="35"/>
      <c r="K2374" s="35"/>
    </row>
    <row r="2375" spans="9:11" ht="15" customHeight="1">
      <c r="I2375" s="35"/>
      <c r="J2375" s="35"/>
      <c r="K2375" s="35"/>
    </row>
    <row r="2376" spans="9:11" ht="15" customHeight="1">
      <c r="I2376" s="35"/>
      <c r="J2376" s="35"/>
      <c r="K2376" s="35"/>
    </row>
    <row r="2377" spans="9:11" ht="15" customHeight="1">
      <c r="I2377" s="35"/>
      <c r="J2377" s="35"/>
      <c r="K2377" s="35"/>
    </row>
    <row r="2378" spans="9:11" ht="15" customHeight="1">
      <c r="I2378" s="35"/>
      <c r="J2378" s="35"/>
      <c r="K2378" s="35"/>
    </row>
    <row r="2379" spans="9:11" ht="15" customHeight="1">
      <c r="I2379" s="35"/>
      <c r="J2379" s="35"/>
      <c r="K2379" s="35"/>
    </row>
    <row r="2380" spans="9:11" ht="15" customHeight="1">
      <c r="I2380" s="35"/>
      <c r="J2380" s="35"/>
      <c r="K2380" s="35"/>
    </row>
    <row r="2381" spans="9:11" ht="15" customHeight="1">
      <c r="I2381" s="35"/>
      <c r="J2381" s="35"/>
      <c r="K2381" s="35"/>
    </row>
    <row r="2382" spans="9:11" ht="15" customHeight="1">
      <c r="I2382" s="35"/>
      <c r="J2382" s="35"/>
      <c r="K2382" s="35"/>
    </row>
    <row r="2383" spans="9:11" ht="15" customHeight="1">
      <c r="I2383" s="35"/>
      <c r="J2383" s="35"/>
      <c r="K2383" s="35"/>
    </row>
    <row r="2384" spans="9:11" ht="15" customHeight="1">
      <c r="I2384" s="35"/>
      <c r="J2384" s="35"/>
      <c r="K2384" s="35"/>
    </row>
    <row r="2385" spans="9:11" ht="15" customHeight="1">
      <c r="I2385" s="35"/>
      <c r="J2385" s="35"/>
      <c r="K2385" s="35"/>
    </row>
    <row r="2386" spans="9:11" ht="15" customHeight="1">
      <c r="I2386" s="35"/>
      <c r="J2386" s="35"/>
      <c r="K2386" s="35"/>
    </row>
    <row r="2387" spans="9:11" ht="15" customHeight="1">
      <c r="I2387" s="35"/>
      <c r="J2387" s="35"/>
      <c r="K2387" s="35"/>
    </row>
    <row r="2388" spans="9:11" ht="15" customHeight="1">
      <c r="I2388" s="35"/>
      <c r="J2388" s="35"/>
      <c r="K2388" s="35"/>
    </row>
    <row r="2389" spans="9:11" ht="15" customHeight="1">
      <c r="I2389" s="35"/>
      <c r="J2389" s="35"/>
      <c r="K2389" s="35"/>
    </row>
    <row r="2390" spans="9:11" ht="15" customHeight="1">
      <c r="I2390" s="35"/>
      <c r="J2390" s="35"/>
      <c r="K2390" s="35"/>
    </row>
    <row r="2391" spans="9:11" ht="15" customHeight="1">
      <c r="I2391" s="35"/>
      <c r="J2391" s="35"/>
      <c r="K2391" s="35"/>
    </row>
    <row r="2392" spans="9:11" ht="15" customHeight="1">
      <c r="I2392" s="35"/>
      <c r="J2392" s="35"/>
      <c r="K2392" s="35"/>
    </row>
    <row r="2393" spans="9:11" ht="15" customHeight="1">
      <c r="I2393" s="35"/>
      <c r="J2393" s="35"/>
      <c r="K2393" s="35"/>
    </row>
    <row r="2394" spans="9:11" ht="15" customHeight="1">
      <c r="I2394" s="35"/>
      <c r="J2394" s="35"/>
      <c r="K2394" s="35"/>
    </row>
    <row r="2395" spans="9:11" ht="15" customHeight="1">
      <c r="I2395" s="35"/>
      <c r="J2395" s="35"/>
      <c r="K2395" s="35"/>
    </row>
    <row r="2396" spans="9:11" ht="15" customHeight="1">
      <c r="I2396" s="35"/>
      <c r="J2396" s="35"/>
      <c r="K2396" s="35"/>
    </row>
    <row r="2397" spans="9:11" ht="15" customHeight="1">
      <c r="I2397" s="35"/>
      <c r="J2397" s="35"/>
      <c r="K2397" s="35"/>
    </row>
    <row r="2398" spans="9:11" ht="15" customHeight="1">
      <c r="I2398" s="35"/>
      <c r="J2398" s="35"/>
      <c r="K2398" s="35"/>
    </row>
    <row r="2399" spans="9:11" ht="15" customHeight="1">
      <c r="I2399" s="35"/>
      <c r="J2399" s="35"/>
      <c r="K2399" s="35"/>
    </row>
    <row r="2400" spans="9:11" ht="15" customHeight="1">
      <c r="I2400" s="35"/>
      <c r="J2400" s="35"/>
      <c r="K2400" s="35"/>
    </row>
    <row r="2401" spans="9:11" ht="15" customHeight="1">
      <c r="I2401" s="35"/>
      <c r="J2401" s="35"/>
      <c r="K2401" s="35"/>
    </row>
    <row r="2402" spans="9:11" ht="15" customHeight="1">
      <c r="I2402" s="35"/>
      <c r="J2402" s="35"/>
      <c r="K2402" s="35"/>
    </row>
    <row r="2403" spans="9:11" ht="15" customHeight="1">
      <c r="I2403" s="35"/>
      <c r="J2403" s="35"/>
      <c r="K2403" s="35"/>
    </row>
    <row r="2404" spans="9:11" ht="15" customHeight="1">
      <c r="I2404" s="35"/>
      <c r="J2404" s="35"/>
      <c r="K2404" s="35"/>
    </row>
    <row r="2405" spans="9:11" ht="15" customHeight="1">
      <c r="I2405" s="35"/>
      <c r="J2405" s="35"/>
      <c r="K2405" s="35"/>
    </row>
    <row r="2406" spans="9:11" ht="15" customHeight="1">
      <c r="I2406" s="35"/>
      <c r="J2406" s="35"/>
      <c r="K2406" s="35"/>
    </row>
    <row r="2407" spans="9:11" ht="15" customHeight="1">
      <c r="I2407" s="35"/>
      <c r="J2407" s="35"/>
      <c r="K2407" s="35"/>
    </row>
    <row r="2408" spans="9:11" ht="15" customHeight="1">
      <c r="I2408" s="35"/>
      <c r="J2408" s="35"/>
      <c r="K2408" s="35"/>
    </row>
    <row r="2409" spans="9:11" ht="15" customHeight="1">
      <c r="I2409" s="35"/>
      <c r="J2409" s="35"/>
      <c r="K2409" s="35"/>
    </row>
    <row r="2410" spans="9:11" ht="15" customHeight="1">
      <c r="I2410" s="35"/>
      <c r="J2410" s="35"/>
      <c r="K2410" s="35"/>
    </row>
    <row r="2411" spans="9:11" ht="15" customHeight="1">
      <c r="I2411" s="35"/>
      <c r="J2411" s="35"/>
      <c r="K2411" s="35"/>
    </row>
    <row r="2412" spans="9:11" ht="15" customHeight="1">
      <c r="I2412" s="35"/>
      <c r="J2412" s="35"/>
      <c r="K2412" s="35"/>
    </row>
    <row r="2413" spans="9:11" ht="15" customHeight="1">
      <c r="I2413" s="35"/>
      <c r="J2413" s="35"/>
      <c r="K2413" s="35"/>
    </row>
    <row r="2414" spans="9:11" ht="15" customHeight="1">
      <c r="I2414" s="35"/>
      <c r="J2414" s="35"/>
      <c r="K2414" s="35"/>
    </row>
    <row r="2415" spans="9:11" ht="15" customHeight="1">
      <c r="I2415" s="35"/>
      <c r="J2415" s="35"/>
      <c r="K2415" s="35"/>
    </row>
    <row r="2416" spans="9:11" ht="15" customHeight="1">
      <c r="I2416" s="35"/>
      <c r="J2416" s="35"/>
      <c r="K2416" s="35"/>
    </row>
    <row r="2417" spans="9:11" ht="15" customHeight="1">
      <c r="I2417" s="35"/>
      <c r="J2417" s="35"/>
      <c r="K2417" s="35"/>
    </row>
    <row r="2418" spans="9:11" ht="15" customHeight="1">
      <c r="I2418" s="35"/>
      <c r="J2418" s="35"/>
      <c r="K2418" s="35"/>
    </row>
    <row r="2419" spans="9:11" ht="15" customHeight="1">
      <c r="I2419" s="35"/>
      <c r="J2419" s="35"/>
      <c r="K2419" s="35"/>
    </row>
    <row r="2420" spans="9:11" ht="15" customHeight="1">
      <c r="I2420" s="35"/>
      <c r="J2420" s="35"/>
      <c r="K2420" s="35"/>
    </row>
    <row r="2421" spans="9:11" ht="15" customHeight="1">
      <c r="I2421" s="35"/>
      <c r="J2421" s="35"/>
      <c r="K2421" s="35"/>
    </row>
    <row r="2422" spans="9:11" ht="15" customHeight="1">
      <c r="I2422" s="35"/>
      <c r="J2422" s="35"/>
      <c r="K2422" s="35"/>
    </row>
    <row r="2423" spans="9:11" ht="15" customHeight="1">
      <c r="I2423" s="35"/>
      <c r="J2423" s="35"/>
      <c r="K2423" s="35"/>
    </row>
    <row r="2424" spans="9:11" ht="15" customHeight="1">
      <c r="I2424" s="35"/>
      <c r="J2424" s="35"/>
      <c r="K2424" s="35"/>
    </row>
    <row r="2425" spans="9:11" ht="15" customHeight="1">
      <c r="I2425" s="35"/>
      <c r="J2425" s="35"/>
      <c r="K2425" s="35"/>
    </row>
    <row r="2426" spans="9:11" ht="15" customHeight="1">
      <c r="I2426" s="35"/>
      <c r="J2426" s="35"/>
      <c r="K2426" s="35"/>
    </row>
    <row r="2427" spans="9:11" ht="15" customHeight="1">
      <c r="I2427" s="35"/>
      <c r="J2427" s="35"/>
      <c r="K2427" s="35"/>
    </row>
    <row r="2428" spans="9:11" ht="15" customHeight="1">
      <c r="I2428" s="35"/>
      <c r="J2428" s="35"/>
      <c r="K2428" s="35"/>
    </row>
    <row r="2429" spans="9:11" ht="15" customHeight="1">
      <c r="I2429" s="35"/>
      <c r="J2429" s="35"/>
      <c r="K2429" s="35"/>
    </row>
    <row r="2430" spans="9:11" ht="15" customHeight="1">
      <c r="I2430" s="35"/>
      <c r="J2430" s="35"/>
      <c r="K2430" s="35"/>
    </row>
    <row r="2431" spans="9:11" ht="15" customHeight="1">
      <c r="I2431" s="35"/>
      <c r="J2431" s="35"/>
      <c r="K2431" s="35"/>
    </row>
    <row r="2432" spans="9:11" ht="15" customHeight="1">
      <c r="I2432" s="35"/>
      <c r="J2432" s="35"/>
      <c r="K2432" s="35"/>
    </row>
    <row r="2433" spans="9:11" ht="15" customHeight="1">
      <c r="I2433" s="35"/>
      <c r="J2433" s="35"/>
      <c r="K2433" s="35"/>
    </row>
    <row r="2434" spans="9:11" ht="15" customHeight="1">
      <c r="I2434" s="35"/>
      <c r="J2434" s="35"/>
      <c r="K2434" s="35"/>
    </row>
    <row r="2435" spans="9:11" ht="15" customHeight="1">
      <c r="I2435" s="35"/>
      <c r="J2435" s="35"/>
      <c r="K2435" s="35"/>
    </row>
    <row r="2436" spans="9:11" ht="15" customHeight="1">
      <c r="I2436" s="35"/>
      <c r="J2436" s="35"/>
      <c r="K2436" s="35"/>
    </row>
    <row r="2437" spans="9:11" ht="15" customHeight="1">
      <c r="I2437" s="35"/>
      <c r="J2437" s="35"/>
      <c r="K2437" s="35"/>
    </row>
    <row r="2438" spans="9:11" ht="15" customHeight="1">
      <c r="I2438" s="35"/>
      <c r="J2438" s="35"/>
      <c r="K2438" s="35"/>
    </row>
    <row r="2439" spans="9:11" ht="15" customHeight="1">
      <c r="I2439" s="35"/>
      <c r="J2439" s="35"/>
      <c r="K2439" s="35"/>
    </row>
    <row r="2440" spans="9:11" ht="15" customHeight="1">
      <c r="I2440" s="35"/>
      <c r="J2440" s="35"/>
      <c r="K2440" s="35"/>
    </row>
    <row r="2441" spans="9:11" ht="15" customHeight="1">
      <c r="I2441" s="35"/>
      <c r="J2441" s="35"/>
      <c r="K2441" s="35"/>
    </row>
    <row r="2442" spans="9:11" ht="15" customHeight="1">
      <c r="I2442" s="35"/>
      <c r="J2442" s="35"/>
      <c r="K2442" s="35"/>
    </row>
    <row r="2443" spans="9:11" ht="15" customHeight="1">
      <c r="I2443" s="35"/>
      <c r="J2443" s="35"/>
      <c r="K2443" s="35"/>
    </row>
    <row r="2444" spans="9:11" ht="15" customHeight="1">
      <c r="I2444" s="35"/>
      <c r="J2444" s="35"/>
      <c r="K2444" s="35"/>
    </row>
    <row r="2445" spans="9:11" ht="15" customHeight="1">
      <c r="I2445" s="35"/>
      <c r="J2445" s="35"/>
      <c r="K2445" s="35"/>
    </row>
    <row r="2446" spans="9:11" ht="15" customHeight="1">
      <c r="I2446" s="35"/>
      <c r="J2446" s="35"/>
      <c r="K2446" s="35"/>
    </row>
    <row r="2447" spans="9:11" ht="15" customHeight="1">
      <c r="I2447" s="35"/>
      <c r="J2447" s="35"/>
      <c r="K2447" s="35"/>
    </row>
    <row r="2448" spans="9:11" ht="15" customHeight="1">
      <c r="I2448" s="35"/>
      <c r="J2448" s="35"/>
      <c r="K2448" s="35"/>
    </row>
    <row r="2449" spans="9:11" ht="15" customHeight="1">
      <c r="I2449" s="35"/>
      <c r="J2449" s="35"/>
      <c r="K2449" s="35"/>
    </row>
    <row r="2450" spans="9:11" ht="15" customHeight="1">
      <c r="I2450" s="35"/>
      <c r="J2450" s="35"/>
      <c r="K2450" s="35"/>
    </row>
    <row r="2451" spans="9:11" ht="15" customHeight="1">
      <c r="I2451" s="35"/>
      <c r="J2451" s="35"/>
      <c r="K2451" s="35"/>
    </row>
    <row r="2452" spans="9:11" ht="15" customHeight="1">
      <c r="I2452" s="35"/>
      <c r="J2452" s="35"/>
      <c r="K2452" s="35"/>
    </row>
    <row r="2453" spans="9:11" ht="15" customHeight="1">
      <c r="I2453" s="35"/>
      <c r="J2453" s="35"/>
      <c r="K2453" s="35"/>
    </row>
    <row r="2454" spans="9:11" ht="15" customHeight="1">
      <c r="I2454" s="35"/>
      <c r="J2454" s="35"/>
      <c r="K2454" s="35"/>
    </row>
    <row r="2455" spans="9:11" ht="15" customHeight="1">
      <c r="I2455" s="35"/>
      <c r="J2455" s="35"/>
      <c r="K2455" s="35"/>
    </row>
    <row r="2456" spans="9:11" ht="15" customHeight="1">
      <c r="I2456" s="35"/>
      <c r="J2456" s="35"/>
      <c r="K2456" s="35"/>
    </row>
    <row r="2457" spans="9:11" ht="15" customHeight="1">
      <c r="I2457" s="35"/>
      <c r="J2457" s="35"/>
      <c r="K2457" s="35"/>
    </row>
    <row r="2458" spans="9:11" ht="15" customHeight="1">
      <c r="I2458" s="35"/>
      <c r="J2458" s="35"/>
      <c r="K2458" s="35"/>
    </row>
    <row r="2459" spans="9:11" ht="15" customHeight="1">
      <c r="I2459" s="35"/>
      <c r="J2459" s="35"/>
      <c r="K2459" s="35"/>
    </row>
    <row r="2460" spans="9:11" ht="15" customHeight="1">
      <c r="I2460" s="35"/>
      <c r="J2460" s="35"/>
      <c r="K2460" s="35"/>
    </row>
    <row r="2461" spans="9:11" ht="15" customHeight="1">
      <c r="I2461" s="35"/>
      <c r="J2461" s="35"/>
      <c r="K2461" s="35"/>
    </row>
    <row r="2462" spans="9:11" ht="15" customHeight="1">
      <c r="I2462" s="35"/>
      <c r="J2462" s="35"/>
      <c r="K2462" s="35"/>
    </row>
    <row r="2463" spans="9:11" ht="15" customHeight="1">
      <c r="I2463" s="35"/>
      <c r="J2463" s="35"/>
      <c r="K2463" s="35"/>
    </row>
    <row r="2464" spans="9:11" ht="15" customHeight="1">
      <c r="I2464" s="35"/>
      <c r="J2464" s="35"/>
      <c r="K2464" s="35"/>
    </row>
    <row r="2465" spans="9:11" ht="15" customHeight="1">
      <c r="I2465" s="35"/>
      <c r="J2465" s="35"/>
      <c r="K2465" s="35"/>
    </row>
    <row r="2466" spans="9:11" ht="15" customHeight="1">
      <c r="I2466" s="35"/>
      <c r="J2466" s="35"/>
      <c r="K2466" s="35"/>
    </row>
    <row r="2467" spans="9:11" ht="15" customHeight="1">
      <c r="I2467" s="35"/>
      <c r="J2467" s="35"/>
      <c r="K2467" s="35"/>
    </row>
    <row r="2468" spans="9:11" ht="15" customHeight="1">
      <c r="I2468" s="35"/>
      <c r="J2468" s="35"/>
      <c r="K2468" s="35"/>
    </row>
    <row r="2469" spans="9:11" ht="15" customHeight="1">
      <c r="I2469" s="35"/>
      <c r="J2469" s="35"/>
      <c r="K2469" s="35"/>
    </row>
    <row r="2470" spans="9:11" ht="15" customHeight="1">
      <c r="I2470" s="35"/>
      <c r="J2470" s="35"/>
      <c r="K2470" s="35"/>
    </row>
    <row r="2471" spans="9:11" ht="15" customHeight="1">
      <c r="I2471" s="35"/>
      <c r="J2471" s="35"/>
      <c r="K2471" s="35"/>
    </row>
    <row r="2472" spans="9:11" ht="15" customHeight="1">
      <c r="I2472" s="35"/>
      <c r="J2472" s="35"/>
      <c r="K2472" s="35"/>
    </row>
    <row r="2473" spans="9:11" ht="15" customHeight="1">
      <c r="I2473" s="35"/>
      <c r="J2473" s="35"/>
      <c r="K2473" s="35"/>
    </row>
    <row r="2474" spans="9:11" ht="15" customHeight="1">
      <c r="I2474" s="35"/>
      <c r="J2474" s="35"/>
      <c r="K2474" s="35"/>
    </row>
    <row r="2475" spans="9:11" ht="15" customHeight="1">
      <c r="I2475" s="35"/>
      <c r="J2475" s="35"/>
      <c r="K2475" s="35"/>
    </row>
    <row r="2476" spans="9:11" ht="15" customHeight="1">
      <c r="I2476" s="35"/>
      <c r="J2476" s="35"/>
      <c r="K2476" s="35"/>
    </row>
    <row r="2477" spans="9:11" ht="15" customHeight="1">
      <c r="I2477" s="35"/>
      <c r="J2477" s="35"/>
      <c r="K2477" s="35"/>
    </row>
    <row r="2478" spans="9:11" ht="15" customHeight="1">
      <c r="I2478" s="35"/>
      <c r="J2478" s="35"/>
      <c r="K2478" s="35"/>
    </row>
    <row r="2479" spans="9:11" ht="15" customHeight="1">
      <c r="I2479" s="35"/>
      <c r="J2479" s="35"/>
      <c r="K2479" s="35"/>
    </row>
    <row r="2480" spans="9:11" ht="15" customHeight="1">
      <c r="I2480" s="35"/>
      <c r="J2480" s="35"/>
      <c r="K2480" s="35"/>
    </row>
    <row r="2481" spans="9:11" ht="15" customHeight="1">
      <c r="I2481" s="35"/>
      <c r="J2481" s="35"/>
      <c r="K2481" s="35"/>
    </row>
    <row r="2482" spans="9:11" ht="15" customHeight="1">
      <c r="I2482" s="35"/>
      <c r="J2482" s="35"/>
      <c r="K2482" s="35"/>
    </row>
    <row r="2483" spans="9:11" ht="15" customHeight="1">
      <c r="I2483" s="35"/>
      <c r="J2483" s="35"/>
      <c r="K2483" s="35"/>
    </row>
    <row r="2484" spans="9:11" ht="15" customHeight="1">
      <c r="I2484" s="35"/>
      <c r="J2484" s="35"/>
      <c r="K2484" s="35"/>
    </row>
    <row r="2485" spans="9:11" ht="15" customHeight="1">
      <c r="I2485" s="35"/>
      <c r="J2485" s="35"/>
      <c r="K2485" s="35"/>
    </row>
    <row r="2486" spans="9:11" ht="15" customHeight="1">
      <c r="I2486" s="35"/>
      <c r="J2486" s="35"/>
      <c r="K2486" s="35"/>
    </row>
    <row r="2487" spans="9:11" ht="15" customHeight="1">
      <c r="I2487" s="35"/>
      <c r="J2487" s="35"/>
      <c r="K2487" s="35"/>
    </row>
    <row r="2488" spans="9:11" ht="15" customHeight="1">
      <c r="I2488" s="35"/>
      <c r="J2488" s="35"/>
      <c r="K2488" s="35"/>
    </row>
    <row r="2489" spans="9:11" ht="15" customHeight="1">
      <c r="I2489" s="35"/>
      <c r="J2489" s="35"/>
      <c r="K2489" s="35"/>
    </row>
    <row r="2490" spans="9:11" ht="15" customHeight="1">
      <c r="I2490" s="35"/>
      <c r="J2490" s="35"/>
      <c r="K2490" s="35"/>
    </row>
    <row r="2491" spans="9:11" ht="15" customHeight="1">
      <c r="I2491" s="35"/>
      <c r="J2491" s="35"/>
      <c r="K2491" s="35"/>
    </row>
    <row r="2492" spans="9:11" ht="15" customHeight="1">
      <c r="I2492" s="35"/>
      <c r="J2492" s="35"/>
      <c r="K2492" s="35"/>
    </row>
    <row r="2493" spans="9:11" ht="15" customHeight="1">
      <c r="I2493" s="35"/>
      <c r="J2493" s="35"/>
      <c r="K2493" s="35"/>
    </row>
    <row r="2494" spans="9:11" ht="15" customHeight="1">
      <c r="I2494" s="35"/>
      <c r="J2494" s="35"/>
      <c r="K2494" s="35"/>
    </row>
    <row r="2495" spans="9:11" ht="15" customHeight="1">
      <c r="I2495" s="35"/>
      <c r="J2495" s="35"/>
      <c r="K2495" s="35"/>
    </row>
    <row r="2496" spans="9:11" ht="15" customHeight="1">
      <c r="I2496" s="35"/>
      <c r="J2496" s="35"/>
      <c r="K2496" s="35"/>
    </row>
    <row r="2497" spans="9:11" ht="15" customHeight="1">
      <c r="I2497" s="35"/>
      <c r="J2497" s="35"/>
      <c r="K2497" s="35"/>
    </row>
    <row r="2498" spans="9:11" ht="15" customHeight="1">
      <c r="I2498" s="35"/>
      <c r="J2498" s="35"/>
      <c r="K2498" s="35"/>
    </row>
    <row r="2499" spans="9:11" ht="15" customHeight="1">
      <c r="I2499" s="35"/>
      <c r="J2499" s="35"/>
      <c r="K2499" s="35"/>
    </row>
    <row r="2500" spans="9:11" ht="15" customHeight="1">
      <c r="I2500" s="35"/>
      <c r="J2500" s="35"/>
      <c r="K2500" s="35"/>
    </row>
    <row r="2501" spans="9:11" ht="15" customHeight="1">
      <c r="I2501" s="35"/>
      <c r="J2501" s="35"/>
      <c r="K2501" s="35"/>
    </row>
    <row r="2502" spans="9:11" ht="15" customHeight="1">
      <c r="I2502" s="35"/>
      <c r="J2502" s="35"/>
      <c r="K2502" s="35"/>
    </row>
    <row r="2503" spans="9:11" ht="15" customHeight="1">
      <c r="I2503" s="35"/>
      <c r="J2503" s="35"/>
      <c r="K2503" s="35"/>
    </row>
    <row r="2504" spans="9:11" ht="15" customHeight="1">
      <c r="I2504" s="35"/>
      <c r="J2504" s="35"/>
      <c r="K2504" s="35"/>
    </row>
    <row r="2505" spans="9:11" ht="15" customHeight="1">
      <c r="I2505" s="35"/>
      <c r="J2505" s="35"/>
      <c r="K2505" s="35"/>
    </row>
    <row r="2506" spans="9:11" ht="15" customHeight="1">
      <c r="I2506" s="35"/>
      <c r="J2506" s="35"/>
      <c r="K2506" s="35"/>
    </row>
    <row r="2507" spans="9:11" ht="15" customHeight="1">
      <c r="I2507" s="35"/>
      <c r="J2507" s="35"/>
      <c r="K2507" s="35"/>
    </row>
    <row r="2508" spans="9:11" ht="15" customHeight="1">
      <c r="I2508" s="35"/>
      <c r="J2508" s="35"/>
      <c r="K2508" s="35"/>
    </row>
    <row r="2509" spans="9:11" ht="15" customHeight="1">
      <c r="I2509" s="35"/>
      <c r="J2509" s="35"/>
      <c r="K2509" s="35"/>
    </row>
    <row r="2510" spans="9:11" ht="15" customHeight="1">
      <c r="I2510" s="35"/>
      <c r="J2510" s="35"/>
      <c r="K2510" s="35"/>
    </row>
    <row r="2511" spans="9:11" ht="15" customHeight="1">
      <c r="I2511" s="35"/>
      <c r="J2511" s="35"/>
      <c r="K2511" s="35"/>
    </row>
    <row r="2512" spans="9:11" ht="15" customHeight="1">
      <c r="I2512" s="35"/>
      <c r="J2512" s="35"/>
      <c r="K2512" s="35"/>
    </row>
    <row r="2513" spans="9:11" ht="15" customHeight="1">
      <c r="I2513" s="35"/>
      <c r="J2513" s="35"/>
      <c r="K2513" s="35"/>
    </row>
    <row r="2514" spans="9:11" ht="15" customHeight="1">
      <c r="I2514" s="35"/>
      <c r="J2514" s="35"/>
      <c r="K2514" s="35"/>
    </row>
    <row r="2515" spans="9:11" ht="15" customHeight="1">
      <c r="I2515" s="35"/>
      <c r="J2515" s="35"/>
      <c r="K2515" s="35"/>
    </row>
    <row r="2516" spans="9:11" ht="15" customHeight="1">
      <c r="I2516" s="35"/>
      <c r="J2516" s="35"/>
      <c r="K2516" s="35"/>
    </row>
    <row r="2517" spans="9:11" ht="15" customHeight="1">
      <c r="I2517" s="35"/>
      <c r="J2517" s="35"/>
      <c r="K2517" s="35"/>
    </row>
    <row r="2518" spans="9:11" ht="15" customHeight="1">
      <c r="I2518" s="35"/>
      <c r="J2518" s="35"/>
      <c r="K2518" s="35"/>
    </row>
    <row r="2519" spans="9:11" ht="15" customHeight="1">
      <c r="I2519" s="35"/>
      <c r="J2519" s="35"/>
      <c r="K2519" s="35"/>
    </row>
    <row r="2520" spans="9:11" ht="15" customHeight="1">
      <c r="I2520" s="35"/>
      <c r="J2520" s="35"/>
      <c r="K2520" s="35"/>
    </row>
    <row r="2521" spans="9:11" ht="15" customHeight="1">
      <c r="I2521" s="35"/>
      <c r="J2521" s="35"/>
      <c r="K2521" s="35"/>
    </row>
    <row r="2522" spans="9:11" ht="15" customHeight="1">
      <c r="I2522" s="35"/>
      <c r="J2522" s="35"/>
      <c r="K2522" s="35"/>
    </row>
    <row r="2523" spans="9:11" ht="15" customHeight="1">
      <c r="I2523" s="35"/>
      <c r="J2523" s="35"/>
      <c r="K2523" s="35"/>
    </row>
    <row r="2524" spans="9:11" ht="15" customHeight="1">
      <c r="I2524" s="35"/>
      <c r="J2524" s="35"/>
      <c r="K2524" s="35"/>
    </row>
    <row r="2525" spans="9:11" ht="15" customHeight="1">
      <c r="I2525" s="35"/>
      <c r="J2525" s="35"/>
      <c r="K2525" s="35"/>
    </row>
    <row r="2526" spans="9:11" ht="15" customHeight="1">
      <c r="I2526" s="35"/>
      <c r="J2526" s="35"/>
      <c r="K2526" s="35"/>
    </row>
    <row r="2527" spans="9:11" ht="15" customHeight="1">
      <c r="I2527" s="35"/>
      <c r="J2527" s="35"/>
      <c r="K2527" s="35"/>
    </row>
    <row r="2528" spans="9:11" ht="15" customHeight="1">
      <c r="I2528" s="35"/>
      <c r="J2528" s="35"/>
      <c r="K2528" s="35"/>
    </row>
    <row r="2529" spans="9:11" ht="15" customHeight="1">
      <c r="I2529" s="35"/>
      <c r="J2529" s="35"/>
      <c r="K2529" s="35"/>
    </row>
    <row r="2530" spans="9:11" ht="15" customHeight="1">
      <c r="I2530" s="35"/>
      <c r="J2530" s="35"/>
      <c r="K2530" s="35"/>
    </row>
    <row r="2531" spans="9:11" ht="15" customHeight="1">
      <c r="I2531" s="35"/>
      <c r="J2531" s="35"/>
      <c r="K2531" s="35"/>
    </row>
    <row r="2532" spans="9:11" ht="15" customHeight="1">
      <c r="I2532" s="35"/>
      <c r="J2532" s="35"/>
      <c r="K2532" s="35"/>
    </row>
    <row r="2533" spans="9:11" ht="15" customHeight="1">
      <c r="I2533" s="35"/>
      <c r="J2533" s="35"/>
      <c r="K2533" s="35"/>
    </row>
    <row r="2534" spans="9:11" ht="15" customHeight="1">
      <c r="I2534" s="35"/>
      <c r="J2534" s="35"/>
      <c r="K2534" s="35"/>
    </row>
    <row r="2535" spans="9:11" ht="15" customHeight="1">
      <c r="I2535" s="35"/>
      <c r="J2535" s="35"/>
      <c r="K2535" s="35"/>
    </row>
    <row r="2536" spans="9:11" ht="15" customHeight="1">
      <c r="I2536" s="35"/>
      <c r="J2536" s="35"/>
      <c r="K2536" s="35"/>
    </row>
    <row r="2537" spans="9:11" ht="15" customHeight="1">
      <c r="I2537" s="35"/>
      <c r="J2537" s="35"/>
      <c r="K2537" s="35"/>
    </row>
    <row r="2538" spans="9:11" ht="15" customHeight="1">
      <c r="I2538" s="35"/>
      <c r="J2538" s="35"/>
      <c r="K2538" s="35"/>
    </row>
    <row r="2539" spans="9:11" ht="15" customHeight="1">
      <c r="I2539" s="35"/>
      <c r="J2539" s="35"/>
      <c r="K2539" s="35"/>
    </row>
    <row r="2540" spans="9:11" ht="15" customHeight="1">
      <c r="I2540" s="35"/>
      <c r="J2540" s="35"/>
      <c r="K2540" s="35"/>
    </row>
    <row r="2541" spans="9:11" ht="15" customHeight="1">
      <c r="I2541" s="35"/>
      <c r="J2541" s="35"/>
      <c r="K2541" s="35"/>
    </row>
    <row r="2542" spans="9:11" ht="15" customHeight="1">
      <c r="I2542" s="35"/>
      <c r="J2542" s="35"/>
      <c r="K2542" s="35"/>
    </row>
    <row r="2543" spans="9:11" ht="15" customHeight="1">
      <c r="I2543" s="35"/>
      <c r="J2543" s="35"/>
      <c r="K2543" s="35"/>
    </row>
    <row r="2544" spans="9:11" ht="15" customHeight="1">
      <c r="I2544" s="35"/>
      <c r="J2544" s="35"/>
      <c r="K2544" s="35"/>
    </row>
    <row r="2545" spans="9:11" ht="15" customHeight="1">
      <c r="I2545" s="35"/>
      <c r="J2545" s="35"/>
      <c r="K2545" s="35"/>
    </row>
    <row r="2546" spans="9:11" ht="15" customHeight="1">
      <c r="I2546" s="35"/>
      <c r="J2546" s="35"/>
      <c r="K2546" s="35"/>
    </row>
    <row r="2547" spans="9:11" ht="15" customHeight="1">
      <c r="I2547" s="35"/>
      <c r="J2547" s="35"/>
      <c r="K2547" s="35"/>
    </row>
    <row r="2548" spans="9:11" ht="15" customHeight="1">
      <c r="I2548" s="35"/>
      <c r="J2548" s="35"/>
      <c r="K2548" s="35"/>
    </row>
    <row r="2549" spans="9:11" ht="15" customHeight="1">
      <c r="I2549" s="35"/>
      <c r="J2549" s="35"/>
      <c r="K2549" s="35"/>
    </row>
    <row r="2550" spans="9:11" ht="15" customHeight="1">
      <c r="I2550" s="35"/>
      <c r="J2550" s="35"/>
      <c r="K2550" s="35"/>
    </row>
    <row r="2551" spans="9:11" ht="15" customHeight="1">
      <c r="I2551" s="35"/>
      <c r="J2551" s="35"/>
      <c r="K2551" s="35"/>
    </row>
    <row r="2552" spans="9:11" ht="15" customHeight="1">
      <c r="I2552" s="35"/>
      <c r="J2552" s="35"/>
      <c r="K2552" s="35"/>
    </row>
    <row r="2553" spans="9:11" ht="15" customHeight="1">
      <c r="I2553" s="35"/>
      <c r="J2553" s="35"/>
      <c r="K2553" s="35"/>
    </row>
    <row r="2554" spans="9:11" ht="15" customHeight="1">
      <c r="I2554" s="35"/>
      <c r="J2554" s="35"/>
      <c r="K2554" s="35"/>
    </row>
    <row r="2555" spans="9:11" ht="15" customHeight="1">
      <c r="I2555" s="35"/>
      <c r="J2555" s="35"/>
      <c r="K2555" s="35"/>
    </row>
    <row r="2556" spans="9:11" ht="15" customHeight="1">
      <c r="I2556" s="35"/>
      <c r="J2556" s="35"/>
      <c r="K2556" s="35"/>
    </row>
    <row r="2557" spans="9:11" ht="15" customHeight="1">
      <c r="I2557" s="35"/>
      <c r="J2557" s="35"/>
      <c r="K2557" s="35"/>
    </row>
    <row r="2558" spans="9:11" ht="15" customHeight="1">
      <c r="I2558" s="35"/>
      <c r="J2558" s="35"/>
      <c r="K2558" s="35"/>
    </row>
    <row r="2559" spans="9:11" ht="15" customHeight="1">
      <c r="I2559" s="35"/>
      <c r="J2559" s="35"/>
      <c r="K2559" s="35"/>
    </row>
    <row r="2560" spans="9:11" ht="15" customHeight="1">
      <c r="I2560" s="35"/>
      <c r="J2560" s="35"/>
      <c r="K2560" s="35"/>
    </row>
    <row r="2561" spans="9:11" ht="15" customHeight="1">
      <c r="I2561" s="35"/>
      <c r="J2561" s="35"/>
      <c r="K2561" s="35"/>
    </row>
    <row r="2562" spans="9:11" ht="15" customHeight="1">
      <c r="I2562" s="35"/>
      <c r="J2562" s="35"/>
      <c r="K2562" s="35"/>
    </row>
    <row r="2563" spans="9:11" ht="15" customHeight="1">
      <c r="I2563" s="35"/>
      <c r="J2563" s="35"/>
      <c r="K2563" s="35"/>
    </row>
    <row r="2564" spans="9:11" ht="15" customHeight="1">
      <c r="I2564" s="35"/>
      <c r="J2564" s="35"/>
      <c r="K2564" s="35"/>
    </row>
    <row r="2565" spans="9:11" ht="15" customHeight="1">
      <c r="I2565" s="35"/>
      <c r="J2565" s="35"/>
      <c r="K2565" s="35"/>
    </row>
    <row r="2566" spans="9:11" ht="15" customHeight="1">
      <c r="I2566" s="35"/>
      <c r="J2566" s="35"/>
      <c r="K2566" s="35"/>
    </row>
    <row r="2567" spans="9:11" ht="15" customHeight="1">
      <c r="I2567" s="35"/>
      <c r="J2567" s="35"/>
      <c r="K2567" s="35"/>
    </row>
    <row r="2568" spans="9:11" ht="15" customHeight="1">
      <c r="I2568" s="35"/>
      <c r="J2568" s="35"/>
      <c r="K2568" s="35"/>
    </row>
    <row r="2569" spans="9:11" ht="15" customHeight="1">
      <c r="I2569" s="35"/>
      <c r="J2569" s="35"/>
      <c r="K2569" s="35"/>
    </row>
    <row r="2570" spans="9:11" ht="15" customHeight="1">
      <c r="I2570" s="35"/>
      <c r="J2570" s="35"/>
      <c r="K2570" s="35"/>
    </row>
    <row r="2571" spans="9:11" ht="15" customHeight="1">
      <c r="I2571" s="35"/>
      <c r="J2571" s="35"/>
      <c r="K2571" s="35"/>
    </row>
    <row r="2572" spans="9:11" ht="15" customHeight="1">
      <c r="I2572" s="35"/>
      <c r="J2572" s="35"/>
      <c r="K2572" s="35"/>
    </row>
    <row r="2573" spans="9:11" ht="15" customHeight="1">
      <c r="I2573" s="35"/>
      <c r="J2573" s="35"/>
      <c r="K2573" s="35"/>
    </row>
    <row r="2574" spans="9:11" ht="15" customHeight="1">
      <c r="I2574" s="35"/>
      <c r="J2574" s="35"/>
      <c r="K2574" s="35"/>
    </row>
    <row r="2575" spans="9:11" ht="15" customHeight="1">
      <c r="I2575" s="35"/>
      <c r="J2575" s="35"/>
      <c r="K2575" s="35"/>
    </row>
    <row r="2576" spans="9:11" ht="15" customHeight="1">
      <c r="I2576" s="35"/>
      <c r="J2576" s="35"/>
      <c r="K2576" s="35"/>
    </row>
    <row r="2577" spans="9:11" ht="15" customHeight="1">
      <c r="I2577" s="35"/>
      <c r="J2577" s="35"/>
      <c r="K2577" s="35"/>
    </row>
    <row r="2578" spans="9:11" ht="15" customHeight="1">
      <c r="I2578" s="35"/>
      <c r="J2578" s="35"/>
      <c r="K2578" s="35"/>
    </row>
    <row r="2579" spans="9:11" ht="15" customHeight="1">
      <c r="I2579" s="35"/>
      <c r="J2579" s="35"/>
      <c r="K2579" s="35"/>
    </row>
    <row r="2580" spans="9:11" ht="15" customHeight="1">
      <c r="I2580" s="35"/>
      <c r="J2580" s="35"/>
      <c r="K2580" s="35"/>
    </row>
    <row r="2581" spans="9:11" ht="15" customHeight="1">
      <c r="I2581" s="35"/>
      <c r="J2581" s="35"/>
      <c r="K2581" s="35"/>
    </row>
    <row r="2582" spans="9:11" ht="15" customHeight="1">
      <c r="I2582" s="35"/>
      <c r="J2582" s="35"/>
      <c r="K2582" s="35"/>
    </row>
    <row r="2583" spans="9:11" ht="15" customHeight="1">
      <c r="I2583" s="35"/>
      <c r="J2583" s="35"/>
      <c r="K2583" s="35"/>
    </row>
    <row r="2584" spans="9:11" ht="15" customHeight="1">
      <c r="I2584" s="35"/>
      <c r="J2584" s="35"/>
      <c r="K2584" s="35"/>
    </row>
    <row r="2585" spans="9:11" ht="15" customHeight="1">
      <c r="I2585" s="35"/>
      <c r="J2585" s="35"/>
      <c r="K2585" s="35"/>
    </row>
    <row r="2586" spans="9:11" ht="15" customHeight="1">
      <c r="I2586" s="35"/>
      <c r="J2586" s="35"/>
      <c r="K2586" s="35"/>
    </row>
    <row r="2587" spans="9:11" ht="15" customHeight="1">
      <c r="I2587" s="35"/>
      <c r="J2587" s="35"/>
      <c r="K2587" s="35"/>
    </row>
    <row r="2588" spans="9:11" ht="15" customHeight="1">
      <c r="I2588" s="35"/>
      <c r="J2588" s="35"/>
      <c r="K2588" s="35"/>
    </row>
    <row r="2589" spans="9:11" ht="15" customHeight="1">
      <c r="I2589" s="35"/>
      <c r="J2589" s="35"/>
      <c r="K2589" s="35"/>
    </row>
    <row r="2590" spans="9:11" ht="15" customHeight="1">
      <c r="I2590" s="35"/>
      <c r="J2590" s="35"/>
      <c r="K2590" s="35"/>
    </row>
    <row r="2591" spans="9:11" ht="15" customHeight="1">
      <c r="I2591" s="35"/>
      <c r="J2591" s="35"/>
      <c r="K2591" s="35"/>
    </row>
    <row r="2592" spans="9:11" ht="15" customHeight="1">
      <c r="I2592" s="35"/>
      <c r="J2592" s="35"/>
      <c r="K2592" s="35"/>
    </row>
    <row r="2593" spans="9:11" ht="15" customHeight="1">
      <c r="I2593" s="35"/>
      <c r="J2593" s="35"/>
      <c r="K2593" s="35"/>
    </row>
    <row r="2594" spans="9:11" ht="15" customHeight="1">
      <c r="I2594" s="35"/>
      <c r="J2594" s="35"/>
      <c r="K2594" s="35"/>
    </row>
    <row r="2595" spans="9:11" ht="15" customHeight="1">
      <c r="I2595" s="35"/>
      <c r="J2595" s="35"/>
      <c r="K2595" s="35"/>
    </row>
    <row r="2596" spans="9:11" ht="15" customHeight="1">
      <c r="I2596" s="35"/>
      <c r="J2596" s="35"/>
      <c r="K2596" s="35"/>
    </row>
    <row r="2597" spans="9:11" ht="15" customHeight="1">
      <c r="I2597" s="35"/>
      <c r="J2597" s="35"/>
      <c r="K2597" s="35"/>
    </row>
    <row r="2598" spans="9:11" ht="15" customHeight="1">
      <c r="I2598" s="35"/>
      <c r="J2598" s="35"/>
      <c r="K2598" s="35"/>
    </row>
    <row r="2599" spans="9:11" ht="15" customHeight="1">
      <c r="I2599" s="35"/>
      <c r="J2599" s="35"/>
      <c r="K2599" s="35"/>
    </row>
    <row r="2600" spans="9:11" ht="15" customHeight="1">
      <c r="I2600" s="35"/>
      <c r="J2600" s="35"/>
      <c r="K2600" s="35"/>
    </row>
    <row r="2601" spans="9:11" ht="15" customHeight="1">
      <c r="I2601" s="35"/>
      <c r="J2601" s="35"/>
      <c r="K2601" s="35"/>
    </row>
    <row r="2602" spans="9:11" ht="15" customHeight="1">
      <c r="I2602" s="35"/>
      <c r="J2602" s="35"/>
      <c r="K2602" s="35"/>
    </row>
    <row r="2603" spans="9:11" ht="15" customHeight="1">
      <c r="I2603" s="35"/>
      <c r="J2603" s="35"/>
      <c r="K2603" s="35"/>
    </row>
    <row r="2604" spans="9:11" ht="15" customHeight="1">
      <c r="I2604" s="35"/>
      <c r="J2604" s="35"/>
      <c r="K2604" s="35"/>
    </row>
    <row r="2605" spans="9:11" ht="15" customHeight="1">
      <c r="I2605" s="35"/>
      <c r="J2605" s="35"/>
      <c r="K2605" s="35"/>
    </row>
    <row r="2606" spans="9:11" ht="15" customHeight="1">
      <c r="I2606" s="35"/>
      <c r="J2606" s="35"/>
      <c r="K2606" s="35"/>
    </row>
    <row r="2607" spans="9:11" ht="15" customHeight="1">
      <c r="I2607" s="35"/>
      <c r="J2607" s="35"/>
      <c r="K2607" s="35"/>
    </row>
    <row r="2608" spans="9:11" ht="15" customHeight="1">
      <c r="I2608" s="35"/>
      <c r="J2608" s="35"/>
      <c r="K2608" s="35"/>
    </row>
    <row r="2609" spans="9:11" ht="15" customHeight="1">
      <c r="I2609" s="35"/>
      <c r="J2609" s="35"/>
      <c r="K2609" s="35"/>
    </row>
    <row r="2610" spans="9:11" ht="15" customHeight="1">
      <c r="I2610" s="35"/>
      <c r="J2610" s="35"/>
      <c r="K2610" s="35"/>
    </row>
    <row r="2611" spans="9:11" ht="15" customHeight="1">
      <c r="I2611" s="35"/>
      <c r="J2611" s="35"/>
      <c r="K2611" s="35"/>
    </row>
    <row r="2612" spans="9:11" ht="15" customHeight="1">
      <c r="I2612" s="35"/>
      <c r="J2612" s="35"/>
      <c r="K2612" s="35"/>
    </row>
    <row r="2613" spans="9:11" ht="15" customHeight="1">
      <c r="I2613" s="35"/>
      <c r="J2613" s="35"/>
      <c r="K2613" s="35"/>
    </row>
    <row r="2614" spans="9:11" ht="15" customHeight="1">
      <c r="I2614" s="35"/>
      <c r="J2614" s="35"/>
      <c r="K2614" s="35"/>
    </row>
    <row r="2615" spans="9:11" ht="15" customHeight="1">
      <c r="I2615" s="35"/>
      <c r="J2615" s="35"/>
      <c r="K2615" s="35"/>
    </row>
    <row r="2616" spans="9:11" ht="15" customHeight="1">
      <c r="I2616" s="35"/>
      <c r="J2616" s="35"/>
      <c r="K2616" s="35"/>
    </row>
    <row r="2617" spans="9:11" ht="15" customHeight="1">
      <c r="I2617" s="35"/>
      <c r="J2617" s="35"/>
      <c r="K2617" s="35"/>
    </row>
    <row r="2618" spans="9:11" ht="15" customHeight="1">
      <c r="I2618" s="35"/>
      <c r="J2618" s="35"/>
      <c r="K2618" s="35"/>
    </row>
    <row r="2619" spans="9:11" ht="15" customHeight="1">
      <c r="I2619" s="35"/>
      <c r="J2619" s="35"/>
      <c r="K2619" s="35"/>
    </row>
    <row r="2620" spans="9:11" ht="15" customHeight="1">
      <c r="I2620" s="35"/>
      <c r="J2620" s="35"/>
      <c r="K2620" s="35"/>
    </row>
    <row r="2621" spans="9:11" ht="15" customHeight="1">
      <c r="I2621" s="35"/>
      <c r="J2621" s="35"/>
      <c r="K2621" s="35"/>
    </row>
    <row r="2622" spans="9:11" ht="15" customHeight="1">
      <c r="I2622" s="35"/>
      <c r="J2622" s="35"/>
      <c r="K2622" s="35"/>
    </row>
    <row r="2623" spans="9:11" ht="15" customHeight="1">
      <c r="I2623" s="35"/>
      <c r="J2623" s="35"/>
      <c r="K2623" s="35"/>
    </row>
    <row r="2624" spans="9:11" ht="15" customHeight="1">
      <c r="I2624" s="35"/>
      <c r="J2624" s="35"/>
      <c r="K2624" s="35"/>
    </row>
    <row r="2625" spans="9:11" ht="15" customHeight="1">
      <c r="I2625" s="35"/>
      <c r="J2625" s="35"/>
      <c r="K2625" s="35"/>
    </row>
    <row r="2626" spans="9:11" ht="15" customHeight="1">
      <c r="I2626" s="35"/>
      <c r="J2626" s="35"/>
      <c r="K2626" s="35"/>
    </row>
    <row r="2627" spans="9:11" ht="15" customHeight="1">
      <c r="I2627" s="35"/>
      <c r="J2627" s="35"/>
      <c r="K2627" s="35"/>
    </row>
    <row r="2628" spans="9:11" ht="15" customHeight="1">
      <c r="I2628" s="35"/>
      <c r="J2628" s="35"/>
      <c r="K2628" s="35"/>
    </row>
    <row r="2629" spans="9:11" ht="15" customHeight="1">
      <c r="I2629" s="35"/>
      <c r="J2629" s="35"/>
      <c r="K2629" s="35"/>
    </row>
    <row r="2630" spans="9:11" ht="15" customHeight="1">
      <c r="I2630" s="35"/>
      <c r="J2630" s="35"/>
      <c r="K2630" s="35"/>
    </row>
    <row r="2631" spans="9:11" ht="15" customHeight="1">
      <c r="I2631" s="35"/>
      <c r="J2631" s="35"/>
      <c r="K2631" s="35"/>
    </row>
    <row r="2632" spans="9:11" ht="15" customHeight="1">
      <c r="I2632" s="35"/>
      <c r="J2632" s="35"/>
      <c r="K2632" s="35"/>
    </row>
    <row r="2633" spans="9:11" ht="15" customHeight="1">
      <c r="I2633" s="35"/>
      <c r="J2633" s="35"/>
      <c r="K2633" s="35"/>
    </row>
    <row r="2634" spans="9:11" ht="15" customHeight="1">
      <c r="I2634" s="35"/>
      <c r="J2634" s="35"/>
      <c r="K2634" s="35"/>
    </row>
    <row r="2635" spans="9:11" ht="15" customHeight="1">
      <c r="I2635" s="35"/>
      <c r="J2635" s="35"/>
      <c r="K2635" s="35"/>
    </row>
    <row r="2636" spans="9:11" ht="15" customHeight="1">
      <c r="I2636" s="35"/>
      <c r="J2636" s="35"/>
      <c r="K2636" s="35"/>
    </row>
    <row r="2637" spans="9:11" ht="15" customHeight="1">
      <c r="I2637" s="35"/>
      <c r="J2637" s="35"/>
      <c r="K2637" s="35"/>
    </row>
    <row r="2638" spans="9:11" ht="15" customHeight="1">
      <c r="I2638" s="35"/>
      <c r="J2638" s="35"/>
      <c r="K2638" s="35"/>
    </row>
    <row r="2639" spans="9:11" ht="15" customHeight="1">
      <c r="I2639" s="35"/>
      <c r="J2639" s="35"/>
      <c r="K2639" s="35"/>
    </row>
    <row r="2640" spans="9:11" ht="15" customHeight="1">
      <c r="I2640" s="35"/>
      <c r="J2640" s="35"/>
      <c r="K2640" s="35"/>
    </row>
    <row r="2641" spans="9:11" ht="15" customHeight="1">
      <c r="I2641" s="35"/>
      <c r="J2641" s="35"/>
      <c r="K2641" s="35"/>
    </row>
    <row r="2642" spans="9:11" ht="15" customHeight="1">
      <c r="I2642" s="35"/>
      <c r="J2642" s="35"/>
      <c r="K2642" s="35"/>
    </row>
    <row r="2643" spans="9:11" ht="15" customHeight="1">
      <c r="I2643" s="35"/>
      <c r="J2643" s="35"/>
      <c r="K2643" s="35"/>
    </row>
    <row r="2644" spans="9:11" ht="15" customHeight="1">
      <c r="I2644" s="35"/>
      <c r="J2644" s="35"/>
      <c r="K2644" s="35"/>
    </row>
    <row r="2645" spans="9:11" ht="15" customHeight="1">
      <c r="I2645" s="35"/>
      <c r="J2645" s="35"/>
      <c r="K2645" s="35"/>
    </row>
    <row r="2646" spans="9:11" ht="15" customHeight="1">
      <c r="I2646" s="35"/>
      <c r="J2646" s="35"/>
      <c r="K2646" s="35"/>
    </row>
    <row r="2647" spans="9:11" ht="15" customHeight="1">
      <c r="I2647" s="35"/>
      <c r="J2647" s="35"/>
      <c r="K2647" s="35"/>
    </row>
    <row r="2648" spans="9:11" ht="15" customHeight="1">
      <c r="I2648" s="35"/>
      <c r="J2648" s="35"/>
      <c r="K2648" s="35"/>
    </row>
    <row r="2649" spans="9:11" ht="15" customHeight="1">
      <c r="I2649" s="35"/>
      <c r="J2649" s="35"/>
      <c r="K2649" s="35"/>
    </row>
    <row r="2650" spans="9:11" ht="15" customHeight="1">
      <c r="I2650" s="35"/>
      <c r="J2650" s="35"/>
      <c r="K2650" s="35"/>
    </row>
    <row r="2651" spans="9:11" ht="15" customHeight="1">
      <c r="I2651" s="35"/>
      <c r="J2651" s="35"/>
      <c r="K2651" s="35"/>
    </row>
    <row r="2652" spans="9:11" ht="15" customHeight="1">
      <c r="I2652" s="35"/>
      <c r="J2652" s="35"/>
      <c r="K2652" s="35"/>
    </row>
    <row r="2653" spans="9:11" ht="15" customHeight="1">
      <c r="I2653" s="35"/>
      <c r="J2653" s="35"/>
      <c r="K2653" s="35"/>
    </row>
    <row r="2654" spans="9:11" ht="15" customHeight="1">
      <c r="I2654" s="35"/>
      <c r="J2654" s="35"/>
      <c r="K2654" s="35"/>
    </row>
    <row r="2655" spans="9:11" ht="15" customHeight="1">
      <c r="I2655" s="35"/>
      <c r="J2655" s="35"/>
      <c r="K2655" s="35"/>
    </row>
    <row r="2656" spans="9:11" ht="15" customHeight="1">
      <c r="I2656" s="35"/>
      <c r="J2656" s="35"/>
      <c r="K2656" s="35"/>
    </row>
    <row r="2657" spans="9:11" ht="15" customHeight="1">
      <c r="I2657" s="35"/>
      <c r="J2657" s="35"/>
      <c r="K2657" s="35"/>
    </row>
    <row r="2658" spans="9:11" ht="15" customHeight="1">
      <c r="I2658" s="35"/>
      <c r="J2658" s="35"/>
      <c r="K2658" s="35"/>
    </row>
    <row r="2659" spans="9:11" ht="15" customHeight="1">
      <c r="I2659" s="35"/>
      <c r="J2659" s="35"/>
      <c r="K2659" s="35"/>
    </row>
    <row r="2660" spans="9:11" ht="15" customHeight="1">
      <c r="I2660" s="35"/>
      <c r="J2660" s="35"/>
      <c r="K2660" s="35"/>
    </row>
    <row r="2661" spans="9:11" ht="15" customHeight="1">
      <c r="I2661" s="35"/>
      <c r="J2661" s="35"/>
      <c r="K2661" s="35"/>
    </row>
    <row r="2662" spans="9:11" ht="15" customHeight="1">
      <c r="I2662" s="35"/>
      <c r="J2662" s="35"/>
      <c r="K2662" s="35"/>
    </row>
    <row r="2663" spans="9:11" ht="15" customHeight="1">
      <c r="I2663" s="35"/>
      <c r="J2663" s="35"/>
      <c r="K2663" s="35"/>
    </row>
    <row r="2664" spans="9:11" ht="15" customHeight="1">
      <c r="I2664" s="35"/>
      <c r="J2664" s="35"/>
      <c r="K2664" s="35"/>
    </row>
    <row r="2665" spans="9:11" ht="15" customHeight="1">
      <c r="I2665" s="35"/>
      <c r="J2665" s="35"/>
      <c r="K2665" s="35"/>
    </row>
    <row r="2666" spans="9:11" ht="15" customHeight="1">
      <c r="I2666" s="35"/>
      <c r="J2666" s="35"/>
      <c r="K2666" s="35"/>
    </row>
    <row r="2667" spans="9:11" ht="15" customHeight="1">
      <c r="I2667" s="35"/>
      <c r="J2667" s="35"/>
      <c r="K2667" s="35"/>
    </row>
    <row r="2668" spans="9:11" ht="15" customHeight="1">
      <c r="I2668" s="35"/>
      <c r="J2668" s="35"/>
      <c r="K2668" s="35"/>
    </row>
    <row r="2669" spans="9:11" ht="15" customHeight="1">
      <c r="I2669" s="35"/>
      <c r="J2669" s="35"/>
      <c r="K2669" s="35"/>
    </row>
    <row r="2670" spans="9:11" ht="15" customHeight="1">
      <c r="I2670" s="35"/>
      <c r="J2670" s="35"/>
      <c r="K2670" s="35"/>
    </row>
    <row r="2671" spans="9:11" ht="15" customHeight="1">
      <c r="I2671" s="35"/>
      <c r="J2671" s="35"/>
      <c r="K2671" s="35"/>
    </row>
    <row r="2672" spans="9:11" ht="15" customHeight="1">
      <c r="I2672" s="35"/>
      <c r="J2672" s="35"/>
      <c r="K2672" s="35"/>
    </row>
    <row r="2673" spans="9:11" ht="15" customHeight="1">
      <c r="I2673" s="35"/>
      <c r="J2673" s="35"/>
      <c r="K2673" s="35"/>
    </row>
    <row r="2674" spans="9:11" ht="15" customHeight="1">
      <c r="I2674" s="35"/>
      <c r="J2674" s="35"/>
      <c r="K2674" s="35"/>
    </row>
    <row r="2675" spans="9:11" ht="15" customHeight="1">
      <c r="I2675" s="35"/>
      <c r="J2675" s="35"/>
      <c r="K2675" s="35"/>
    </row>
    <row r="2676" spans="9:11" ht="15" customHeight="1">
      <c r="I2676" s="35"/>
      <c r="J2676" s="35"/>
      <c r="K2676" s="35"/>
    </row>
    <row r="2677" spans="9:11" ht="15" customHeight="1">
      <c r="I2677" s="35"/>
      <c r="J2677" s="35"/>
      <c r="K2677" s="35"/>
    </row>
    <row r="2678" spans="9:11" ht="15" customHeight="1">
      <c r="I2678" s="35"/>
      <c r="J2678" s="35"/>
      <c r="K2678" s="35"/>
    </row>
    <row r="2679" spans="9:11" ht="15" customHeight="1">
      <c r="I2679" s="35"/>
      <c r="J2679" s="35"/>
      <c r="K2679" s="35"/>
    </row>
    <row r="2680" spans="9:11" ht="15" customHeight="1">
      <c r="I2680" s="35"/>
      <c r="J2680" s="35"/>
      <c r="K2680" s="35"/>
    </row>
    <row r="2681" spans="9:11" ht="15" customHeight="1">
      <c r="I2681" s="35"/>
      <c r="J2681" s="35"/>
      <c r="K2681" s="35"/>
    </row>
    <row r="2682" spans="9:11" ht="15" customHeight="1">
      <c r="I2682" s="35"/>
      <c r="J2682" s="35"/>
      <c r="K2682" s="35"/>
    </row>
    <row r="2683" spans="9:11" ht="15" customHeight="1">
      <c r="I2683" s="35"/>
      <c r="J2683" s="35"/>
      <c r="K2683" s="35"/>
    </row>
    <row r="2684" spans="9:11" ht="15" customHeight="1">
      <c r="I2684" s="35"/>
      <c r="J2684" s="35"/>
      <c r="K2684" s="35"/>
    </row>
    <row r="2685" spans="9:11" ht="15" customHeight="1">
      <c r="I2685" s="35"/>
      <c r="J2685" s="35"/>
      <c r="K2685" s="35"/>
    </row>
    <row r="2686" spans="9:11" ht="15" customHeight="1">
      <c r="I2686" s="35"/>
      <c r="J2686" s="35"/>
      <c r="K2686" s="35"/>
    </row>
    <row r="2687" spans="9:11" ht="15" customHeight="1">
      <c r="I2687" s="35"/>
      <c r="J2687" s="35"/>
      <c r="K2687" s="35"/>
    </row>
    <row r="2688" spans="9:11" ht="15" customHeight="1">
      <c r="I2688" s="35"/>
      <c r="J2688" s="35"/>
      <c r="K2688" s="35"/>
    </row>
    <row r="2689" spans="9:11" ht="15" customHeight="1">
      <c r="I2689" s="35"/>
      <c r="J2689" s="35"/>
      <c r="K2689" s="35"/>
    </row>
    <row r="2690" spans="9:11" ht="15" customHeight="1">
      <c r="I2690" s="35"/>
      <c r="J2690" s="35"/>
      <c r="K2690" s="35"/>
    </row>
    <row r="2691" spans="9:11" ht="15" customHeight="1">
      <c r="I2691" s="35"/>
      <c r="J2691" s="35"/>
      <c r="K2691" s="35"/>
    </row>
    <row r="2692" spans="9:11" ht="15" customHeight="1">
      <c r="I2692" s="35"/>
      <c r="J2692" s="35"/>
      <c r="K2692" s="35"/>
    </row>
    <row r="2693" spans="9:11" ht="15" customHeight="1">
      <c r="I2693" s="35"/>
      <c r="J2693" s="35"/>
      <c r="K2693" s="35"/>
    </row>
    <row r="2694" spans="9:11" ht="15" customHeight="1">
      <c r="I2694" s="35"/>
      <c r="J2694" s="35"/>
      <c r="K2694" s="35"/>
    </row>
    <row r="2695" spans="9:11" ht="15" customHeight="1">
      <c r="I2695" s="35"/>
      <c r="J2695" s="35"/>
      <c r="K2695" s="35"/>
    </row>
    <row r="2696" spans="9:11" ht="15" customHeight="1">
      <c r="I2696" s="35"/>
      <c r="J2696" s="35"/>
      <c r="K2696" s="35"/>
    </row>
    <row r="2697" spans="9:11" ht="15" customHeight="1">
      <c r="I2697" s="35"/>
      <c r="J2697" s="35"/>
      <c r="K2697" s="35"/>
    </row>
    <row r="2698" spans="9:11" ht="15" customHeight="1">
      <c r="I2698" s="35"/>
      <c r="J2698" s="35"/>
      <c r="K2698" s="35"/>
    </row>
    <row r="2699" spans="9:11" ht="15" customHeight="1">
      <c r="I2699" s="35"/>
      <c r="J2699" s="35"/>
      <c r="K2699" s="35"/>
    </row>
    <row r="2700" spans="9:11" ht="15" customHeight="1">
      <c r="I2700" s="35"/>
      <c r="J2700" s="35"/>
      <c r="K2700" s="35"/>
    </row>
    <row r="2701" spans="9:11" ht="15" customHeight="1">
      <c r="I2701" s="35"/>
      <c r="J2701" s="35"/>
      <c r="K2701" s="35"/>
    </row>
    <row r="2702" spans="9:11" ht="15" customHeight="1">
      <c r="I2702" s="35"/>
      <c r="J2702" s="35"/>
      <c r="K2702" s="35"/>
    </row>
    <row r="2703" spans="9:11" ht="15" customHeight="1">
      <c r="I2703" s="35"/>
      <c r="J2703" s="35"/>
      <c r="K2703" s="35"/>
    </row>
    <row r="2704" spans="9:11" ht="15" customHeight="1">
      <c r="I2704" s="35"/>
      <c r="J2704" s="35"/>
      <c r="K2704" s="35"/>
    </row>
    <row r="2705" spans="9:11" ht="15" customHeight="1">
      <c r="I2705" s="35"/>
      <c r="J2705" s="35"/>
      <c r="K2705" s="35"/>
    </row>
    <row r="2706" spans="9:11" ht="15" customHeight="1">
      <c r="I2706" s="35"/>
      <c r="J2706" s="35"/>
      <c r="K2706" s="35"/>
    </row>
    <row r="2707" spans="9:11" ht="15" customHeight="1">
      <c r="I2707" s="35"/>
      <c r="J2707" s="35"/>
      <c r="K2707" s="35"/>
    </row>
    <row r="2708" spans="9:11" ht="15" customHeight="1">
      <c r="I2708" s="35"/>
      <c r="J2708" s="35"/>
      <c r="K2708" s="35"/>
    </row>
    <row r="2709" spans="9:11" ht="15" customHeight="1">
      <c r="I2709" s="35"/>
      <c r="J2709" s="35"/>
      <c r="K2709" s="35"/>
    </row>
    <row r="2710" spans="9:11" ht="15" customHeight="1">
      <c r="I2710" s="35"/>
      <c r="J2710" s="35"/>
      <c r="K2710" s="35"/>
    </row>
    <row r="2711" spans="9:11" ht="15" customHeight="1">
      <c r="I2711" s="35"/>
      <c r="J2711" s="35"/>
      <c r="K2711" s="35"/>
    </row>
    <row r="2712" spans="9:11" ht="15" customHeight="1">
      <c r="I2712" s="35"/>
      <c r="J2712" s="35"/>
      <c r="K2712" s="35"/>
    </row>
    <row r="2713" spans="9:11" ht="15" customHeight="1">
      <c r="I2713" s="35"/>
      <c r="J2713" s="35"/>
      <c r="K2713" s="35"/>
    </row>
    <row r="2714" spans="9:11" ht="15" customHeight="1">
      <c r="I2714" s="35"/>
      <c r="J2714" s="35"/>
      <c r="K2714" s="35"/>
    </row>
    <row r="2715" spans="9:11" ht="15" customHeight="1">
      <c r="I2715" s="35"/>
      <c r="J2715" s="35"/>
      <c r="K2715" s="35"/>
    </row>
    <row r="2716" spans="9:11" ht="15" customHeight="1">
      <c r="I2716" s="35"/>
      <c r="J2716" s="35"/>
      <c r="K2716" s="35"/>
    </row>
    <row r="2717" spans="9:11" ht="15" customHeight="1">
      <c r="I2717" s="35"/>
      <c r="J2717" s="35"/>
      <c r="K2717" s="35"/>
    </row>
    <row r="2718" spans="9:11" ht="15" customHeight="1">
      <c r="I2718" s="35"/>
      <c r="J2718" s="35"/>
      <c r="K2718" s="35"/>
    </row>
    <row r="2719" spans="9:11" ht="15" customHeight="1">
      <c r="I2719" s="35"/>
      <c r="J2719" s="35"/>
      <c r="K2719" s="35"/>
    </row>
    <row r="2720" spans="9:11" ht="15" customHeight="1">
      <c r="I2720" s="35"/>
      <c r="J2720" s="35"/>
      <c r="K2720" s="35"/>
    </row>
    <row r="2721" spans="9:11" ht="15" customHeight="1">
      <c r="I2721" s="35"/>
      <c r="J2721" s="35"/>
      <c r="K2721" s="35"/>
    </row>
    <row r="2722" spans="9:11" ht="15" customHeight="1">
      <c r="I2722" s="35"/>
      <c r="J2722" s="35"/>
      <c r="K2722" s="35"/>
    </row>
    <row r="2723" spans="9:11" ht="15" customHeight="1">
      <c r="I2723" s="35"/>
      <c r="J2723" s="35"/>
      <c r="K2723" s="35"/>
    </row>
    <row r="2724" spans="9:11" ht="15" customHeight="1">
      <c r="I2724" s="35"/>
      <c r="J2724" s="35"/>
      <c r="K2724" s="35"/>
    </row>
    <row r="2725" spans="9:11" ht="15" customHeight="1">
      <c r="I2725" s="35"/>
      <c r="J2725" s="35"/>
      <c r="K2725" s="35"/>
    </row>
    <row r="2726" spans="9:11" ht="15" customHeight="1">
      <c r="I2726" s="35"/>
      <c r="J2726" s="35"/>
      <c r="K2726" s="35"/>
    </row>
    <row r="2727" spans="9:11" ht="15" customHeight="1">
      <c r="I2727" s="35"/>
      <c r="J2727" s="35"/>
      <c r="K2727" s="35"/>
    </row>
    <row r="2728" spans="9:11" ht="15" customHeight="1">
      <c r="I2728" s="35"/>
      <c r="J2728" s="35"/>
      <c r="K2728" s="35"/>
    </row>
    <row r="2729" spans="9:11" ht="15" customHeight="1">
      <c r="I2729" s="35"/>
      <c r="J2729" s="35"/>
      <c r="K2729" s="35"/>
    </row>
    <row r="2730" spans="9:11" ht="15" customHeight="1">
      <c r="I2730" s="35"/>
      <c r="J2730" s="35"/>
      <c r="K2730" s="35"/>
    </row>
    <row r="2731" spans="9:11" ht="15" customHeight="1">
      <c r="I2731" s="35"/>
      <c r="J2731" s="35"/>
      <c r="K2731" s="35"/>
    </row>
    <row r="2732" spans="9:11" ht="15" customHeight="1">
      <c r="I2732" s="35"/>
      <c r="J2732" s="35"/>
      <c r="K2732" s="35"/>
    </row>
    <row r="2733" spans="9:11" ht="15" customHeight="1">
      <c r="I2733" s="35"/>
      <c r="J2733" s="35"/>
      <c r="K2733" s="35"/>
    </row>
    <row r="2734" spans="9:11" ht="15" customHeight="1">
      <c r="I2734" s="35"/>
      <c r="J2734" s="35"/>
      <c r="K2734" s="35"/>
    </row>
    <row r="2735" spans="9:11" ht="15" customHeight="1">
      <c r="I2735" s="35"/>
      <c r="J2735" s="35"/>
      <c r="K2735" s="35"/>
    </row>
    <row r="2736" spans="9:11" ht="15" customHeight="1">
      <c r="I2736" s="35"/>
      <c r="J2736" s="35"/>
      <c r="K2736" s="35"/>
    </row>
    <row r="2737" spans="9:11" ht="15" customHeight="1">
      <c r="I2737" s="35"/>
      <c r="J2737" s="35"/>
      <c r="K2737" s="35"/>
    </row>
    <row r="2738" spans="9:11" ht="15" customHeight="1">
      <c r="I2738" s="35"/>
      <c r="J2738" s="35"/>
      <c r="K2738" s="35"/>
    </row>
    <row r="2739" spans="9:11" ht="15" customHeight="1">
      <c r="I2739" s="35"/>
      <c r="J2739" s="35"/>
      <c r="K2739" s="35"/>
    </row>
    <row r="2740" spans="9:11" ht="15" customHeight="1">
      <c r="I2740" s="35"/>
      <c r="J2740" s="35"/>
      <c r="K2740" s="35"/>
    </row>
    <row r="2741" spans="9:11" ht="15" customHeight="1">
      <c r="I2741" s="35"/>
      <c r="J2741" s="35"/>
      <c r="K2741" s="35"/>
    </row>
    <row r="2742" spans="9:11" ht="15" customHeight="1">
      <c r="I2742" s="35"/>
      <c r="J2742" s="35"/>
      <c r="K2742" s="35"/>
    </row>
    <row r="2743" spans="9:11" ht="15" customHeight="1">
      <c r="I2743" s="35"/>
      <c r="J2743" s="35"/>
      <c r="K2743" s="35"/>
    </row>
    <row r="2744" spans="9:11" ht="15" customHeight="1">
      <c r="I2744" s="35"/>
      <c r="J2744" s="35"/>
      <c r="K2744" s="35"/>
    </row>
    <row r="2745" spans="9:11" ht="15" customHeight="1">
      <c r="I2745" s="35"/>
      <c r="J2745" s="35"/>
      <c r="K2745" s="35"/>
    </row>
    <row r="2746" spans="9:11" ht="15" customHeight="1">
      <c r="I2746" s="35"/>
      <c r="J2746" s="35"/>
      <c r="K2746" s="35"/>
    </row>
    <row r="2747" spans="9:11" ht="15" customHeight="1">
      <c r="I2747" s="35"/>
      <c r="J2747" s="35"/>
      <c r="K2747" s="35"/>
    </row>
    <row r="2748" spans="9:11" ht="15" customHeight="1">
      <c r="I2748" s="35"/>
      <c r="J2748" s="35"/>
      <c r="K2748" s="35"/>
    </row>
    <row r="2749" spans="9:11" ht="15" customHeight="1">
      <c r="I2749" s="35"/>
      <c r="J2749" s="35"/>
      <c r="K2749" s="35"/>
    </row>
    <row r="2750" spans="9:11" ht="15" customHeight="1">
      <c r="I2750" s="35"/>
      <c r="J2750" s="35"/>
      <c r="K2750" s="35"/>
    </row>
    <row r="2751" spans="9:11" ht="15" customHeight="1">
      <c r="I2751" s="35"/>
      <c r="J2751" s="35"/>
      <c r="K2751" s="35"/>
    </row>
    <row r="2752" spans="9:11" ht="15" customHeight="1">
      <c r="I2752" s="35"/>
      <c r="J2752" s="35"/>
      <c r="K2752" s="35"/>
    </row>
    <row r="2753" spans="9:11" ht="15" customHeight="1">
      <c r="I2753" s="35"/>
      <c r="J2753" s="35"/>
      <c r="K2753" s="35"/>
    </row>
    <row r="2754" spans="9:11" ht="15" customHeight="1">
      <c r="I2754" s="35"/>
      <c r="J2754" s="35"/>
      <c r="K2754" s="35"/>
    </row>
    <row r="2755" spans="9:11" ht="15" customHeight="1">
      <c r="I2755" s="35"/>
      <c r="J2755" s="35"/>
      <c r="K2755" s="35"/>
    </row>
    <row r="2756" spans="9:11" ht="15" customHeight="1">
      <c r="I2756" s="35"/>
      <c r="J2756" s="35"/>
      <c r="K2756" s="35"/>
    </row>
    <row r="2757" spans="9:11" ht="15" customHeight="1">
      <c r="I2757" s="35"/>
      <c r="J2757" s="35"/>
      <c r="K2757" s="35"/>
    </row>
    <row r="2758" spans="9:11" ht="15" customHeight="1">
      <c r="I2758" s="35"/>
      <c r="J2758" s="35"/>
      <c r="K2758" s="35"/>
    </row>
    <row r="2759" spans="9:11" ht="15" customHeight="1">
      <c r="I2759" s="35"/>
      <c r="J2759" s="35"/>
      <c r="K2759" s="35"/>
    </row>
    <row r="2760" spans="9:11" ht="15" customHeight="1">
      <c r="I2760" s="35"/>
      <c r="J2760" s="35"/>
      <c r="K2760" s="35"/>
    </row>
    <row r="2761" spans="9:11" ht="15" customHeight="1">
      <c r="I2761" s="35"/>
      <c r="J2761" s="35"/>
      <c r="K2761" s="35"/>
    </row>
    <row r="2762" spans="9:11" ht="15" customHeight="1">
      <c r="I2762" s="35"/>
      <c r="J2762" s="35"/>
      <c r="K2762" s="35"/>
    </row>
    <row r="2763" spans="9:11" ht="15" customHeight="1">
      <c r="I2763" s="35"/>
      <c r="J2763" s="35"/>
      <c r="K2763" s="35"/>
    </row>
    <row r="2764" spans="9:11" ht="15" customHeight="1">
      <c r="I2764" s="35"/>
      <c r="J2764" s="35"/>
      <c r="K2764" s="35"/>
    </row>
    <row r="2765" spans="9:11" ht="15" customHeight="1">
      <c r="I2765" s="35"/>
      <c r="J2765" s="35"/>
      <c r="K2765" s="35"/>
    </row>
    <row r="2766" spans="9:11" ht="15" customHeight="1">
      <c r="I2766" s="35"/>
      <c r="J2766" s="35"/>
      <c r="K2766" s="35"/>
    </row>
    <row r="2767" spans="9:11" ht="15" customHeight="1">
      <c r="I2767" s="35"/>
      <c r="J2767" s="35"/>
      <c r="K2767" s="35"/>
    </row>
    <row r="2768" spans="9:11" ht="15" customHeight="1">
      <c r="I2768" s="35"/>
      <c r="J2768" s="35"/>
      <c r="K2768" s="35"/>
    </row>
    <row r="2769" spans="9:11" ht="15" customHeight="1">
      <c r="I2769" s="35"/>
      <c r="J2769" s="35"/>
      <c r="K2769" s="35"/>
    </row>
    <row r="2770" spans="9:11" ht="15" customHeight="1">
      <c r="I2770" s="35"/>
      <c r="J2770" s="35"/>
      <c r="K2770" s="35"/>
    </row>
    <row r="2771" spans="9:11" ht="15" customHeight="1">
      <c r="I2771" s="35"/>
      <c r="J2771" s="35"/>
      <c r="K2771" s="35"/>
    </row>
    <row r="2772" spans="9:11" ht="15" customHeight="1">
      <c r="I2772" s="35"/>
      <c r="J2772" s="35"/>
      <c r="K2772" s="35"/>
    </row>
    <row r="2773" spans="9:11" ht="15" customHeight="1">
      <c r="I2773" s="35"/>
      <c r="J2773" s="35"/>
      <c r="K2773" s="35"/>
    </row>
    <row r="2774" spans="9:11" ht="15" customHeight="1">
      <c r="I2774" s="35"/>
      <c r="J2774" s="35"/>
      <c r="K2774" s="35"/>
    </row>
    <row r="2775" spans="9:11" ht="15" customHeight="1">
      <c r="I2775" s="35"/>
      <c r="J2775" s="35"/>
      <c r="K2775" s="35"/>
    </row>
    <row r="2776" spans="9:11" ht="15" customHeight="1">
      <c r="I2776" s="35"/>
      <c r="J2776" s="35"/>
      <c r="K2776" s="35"/>
    </row>
    <row r="2777" spans="9:11" ht="15" customHeight="1">
      <c r="I2777" s="35"/>
      <c r="J2777" s="35"/>
      <c r="K2777" s="35"/>
    </row>
    <row r="2778" spans="9:11" ht="15" customHeight="1">
      <c r="I2778" s="35"/>
      <c r="J2778" s="35"/>
      <c r="K2778" s="35"/>
    </row>
    <row r="2779" spans="9:11" ht="15" customHeight="1">
      <c r="I2779" s="35"/>
      <c r="J2779" s="35"/>
      <c r="K2779" s="35"/>
    </row>
    <row r="2780" spans="9:11" ht="15" customHeight="1">
      <c r="I2780" s="35"/>
      <c r="J2780" s="35"/>
      <c r="K2780" s="35"/>
    </row>
    <row r="2781" spans="9:11" ht="15" customHeight="1">
      <c r="I2781" s="35"/>
      <c r="J2781" s="35"/>
      <c r="K2781" s="35"/>
    </row>
    <row r="2782" spans="9:11" ht="15" customHeight="1">
      <c r="I2782" s="35"/>
      <c r="J2782" s="35"/>
      <c r="K2782" s="35"/>
    </row>
    <row r="2783" spans="9:11" ht="15" customHeight="1">
      <c r="I2783" s="35"/>
      <c r="J2783" s="35"/>
      <c r="K2783" s="35"/>
    </row>
    <row r="2784" spans="9:11" ht="15" customHeight="1">
      <c r="I2784" s="35"/>
      <c r="J2784" s="35"/>
      <c r="K2784" s="35"/>
    </row>
    <row r="2785" spans="9:11" ht="15" customHeight="1">
      <c r="I2785" s="35"/>
      <c r="J2785" s="35"/>
      <c r="K2785" s="35"/>
    </row>
    <row r="2786" spans="9:11" ht="15" customHeight="1">
      <c r="I2786" s="35"/>
      <c r="J2786" s="35"/>
      <c r="K2786" s="35"/>
    </row>
    <row r="2787" spans="9:11" ht="15" customHeight="1">
      <c r="I2787" s="35"/>
      <c r="J2787" s="35"/>
      <c r="K2787" s="35"/>
    </row>
    <row r="2788" spans="9:11" ht="15" customHeight="1">
      <c r="I2788" s="35"/>
      <c r="J2788" s="35"/>
      <c r="K2788" s="35"/>
    </row>
    <row r="2789" spans="9:11" ht="15" customHeight="1">
      <c r="I2789" s="35"/>
      <c r="J2789" s="35"/>
      <c r="K2789" s="35"/>
    </row>
    <row r="2790" spans="9:11" ht="15" customHeight="1">
      <c r="I2790" s="35"/>
      <c r="J2790" s="35"/>
      <c r="K2790" s="35"/>
    </row>
    <row r="2791" spans="9:11" ht="15" customHeight="1">
      <c r="I2791" s="35"/>
      <c r="J2791" s="35"/>
      <c r="K2791" s="35"/>
    </row>
    <row r="2792" spans="9:11" ht="15" customHeight="1">
      <c r="I2792" s="35"/>
      <c r="J2792" s="35"/>
      <c r="K2792" s="35"/>
    </row>
    <row r="2793" spans="9:11" ht="15" customHeight="1">
      <c r="I2793" s="35"/>
      <c r="J2793" s="35"/>
      <c r="K2793" s="35"/>
    </row>
    <row r="2794" spans="9:11" ht="15" customHeight="1">
      <c r="I2794" s="35"/>
      <c r="J2794" s="35"/>
      <c r="K2794" s="35"/>
    </row>
    <row r="2795" spans="9:11" ht="15" customHeight="1">
      <c r="I2795" s="35"/>
      <c r="J2795" s="35"/>
      <c r="K2795" s="35"/>
    </row>
    <row r="2796" spans="9:11" ht="15" customHeight="1">
      <c r="I2796" s="35"/>
      <c r="J2796" s="35"/>
      <c r="K2796" s="35"/>
    </row>
    <row r="2797" spans="9:11" ht="15" customHeight="1">
      <c r="I2797" s="35"/>
      <c r="J2797" s="35"/>
      <c r="K2797" s="35"/>
    </row>
    <row r="2798" spans="9:11" ht="15" customHeight="1">
      <c r="I2798" s="35"/>
      <c r="J2798" s="35"/>
      <c r="K2798" s="35"/>
    </row>
    <row r="2799" spans="9:11" ht="15" customHeight="1">
      <c r="I2799" s="35"/>
      <c r="J2799" s="35"/>
      <c r="K2799" s="35"/>
    </row>
    <row r="2800" spans="9:11" ht="15" customHeight="1">
      <c r="I2800" s="35"/>
      <c r="J2800" s="35"/>
      <c r="K2800" s="35"/>
    </row>
    <row r="2801" spans="9:11" ht="15" customHeight="1">
      <c r="I2801" s="35"/>
      <c r="J2801" s="35"/>
      <c r="K2801" s="35"/>
    </row>
    <row r="2802" spans="9:11" ht="15" customHeight="1">
      <c r="I2802" s="35"/>
      <c r="J2802" s="35"/>
      <c r="K2802" s="35"/>
    </row>
    <row r="2803" spans="9:11" ht="15" customHeight="1">
      <c r="I2803" s="35"/>
      <c r="J2803" s="35"/>
      <c r="K2803" s="35"/>
    </row>
    <row r="2804" spans="9:11" ht="15" customHeight="1">
      <c r="I2804" s="35"/>
      <c r="J2804" s="35"/>
      <c r="K2804" s="35"/>
    </row>
    <row r="2805" spans="9:11" ht="15" customHeight="1">
      <c r="I2805" s="35"/>
      <c r="J2805" s="35"/>
      <c r="K2805" s="35"/>
    </row>
    <row r="2806" spans="9:11" ht="15" customHeight="1">
      <c r="I2806" s="35"/>
      <c r="J2806" s="35"/>
      <c r="K2806" s="35"/>
    </row>
    <row r="2807" spans="9:11" ht="15" customHeight="1">
      <c r="I2807" s="35"/>
      <c r="J2807" s="35"/>
      <c r="K2807" s="35"/>
    </row>
    <row r="2808" spans="9:11" ht="15" customHeight="1">
      <c r="I2808" s="35"/>
      <c r="J2808" s="35"/>
      <c r="K2808" s="35"/>
    </row>
    <row r="2809" spans="9:11" ht="15" customHeight="1">
      <c r="I2809" s="35"/>
      <c r="J2809" s="35"/>
      <c r="K2809" s="35"/>
    </row>
    <row r="2810" spans="9:11" ht="15" customHeight="1">
      <c r="I2810" s="35"/>
      <c r="J2810" s="35"/>
      <c r="K2810" s="35"/>
    </row>
    <row r="2811" spans="9:11" ht="15" customHeight="1">
      <c r="I2811" s="35"/>
      <c r="J2811" s="35"/>
      <c r="K2811" s="35"/>
    </row>
    <row r="2812" spans="9:11" ht="15" customHeight="1">
      <c r="I2812" s="35"/>
      <c r="J2812" s="35"/>
      <c r="K2812" s="35"/>
    </row>
    <row r="2813" spans="9:11" ht="15" customHeight="1">
      <c r="I2813" s="35"/>
      <c r="J2813" s="35"/>
      <c r="K2813" s="35"/>
    </row>
    <row r="2814" spans="9:11" ht="15" customHeight="1">
      <c r="I2814" s="35"/>
      <c r="J2814" s="35"/>
      <c r="K2814" s="35"/>
    </row>
    <row r="2815" spans="9:11" ht="15" customHeight="1">
      <c r="I2815" s="35"/>
      <c r="J2815" s="35"/>
      <c r="K2815" s="35"/>
    </row>
    <row r="2816" spans="9:11" ht="15" customHeight="1">
      <c r="I2816" s="35"/>
      <c r="J2816" s="35"/>
      <c r="K2816" s="35"/>
    </row>
    <row r="2817" spans="9:11" ht="15" customHeight="1">
      <c r="I2817" s="35"/>
      <c r="J2817" s="35"/>
      <c r="K2817" s="35"/>
    </row>
    <row r="2818" spans="9:11" ht="15" customHeight="1">
      <c r="I2818" s="35"/>
      <c r="J2818" s="35"/>
      <c r="K2818" s="35"/>
    </row>
    <row r="2819" spans="9:11" ht="15" customHeight="1">
      <c r="I2819" s="35"/>
      <c r="J2819" s="35"/>
      <c r="K2819" s="35"/>
    </row>
    <row r="2820" spans="9:11" ht="15" customHeight="1">
      <c r="I2820" s="35"/>
      <c r="J2820" s="35"/>
      <c r="K2820" s="35"/>
    </row>
    <row r="2821" spans="9:11" ht="15" customHeight="1">
      <c r="I2821" s="35"/>
      <c r="J2821" s="35"/>
      <c r="K2821" s="35"/>
    </row>
    <row r="2822" spans="9:11" ht="15" customHeight="1">
      <c r="I2822" s="35"/>
      <c r="J2822" s="35"/>
      <c r="K2822" s="35"/>
    </row>
    <row r="2823" spans="9:11" ht="15" customHeight="1">
      <c r="I2823" s="35"/>
      <c r="J2823" s="35"/>
      <c r="K2823" s="35"/>
    </row>
    <row r="2824" spans="9:11" ht="15" customHeight="1">
      <c r="I2824" s="35"/>
      <c r="J2824" s="35"/>
      <c r="K2824" s="35"/>
    </row>
    <row r="2825" spans="9:11" ht="15" customHeight="1">
      <c r="I2825" s="35"/>
      <c r="J2825" s="35"/>
      <c r="K2825" s="35"/>
    </row>
    <row r="2826" spans="9:11" ht="15" customHeight="1">
      <c r="I2826" s="35"/>
      <c r="J2826" s="35"/>
      <c r="K2826" s="35"/>
    </row>
    <row r="2827" spans="9:11" ht="15" customHeight="1">
      <c r="I2827" s="35"/>
      <c r="J2827" s="35"/>
      <c r="K2827" s="35"/>
    </row>
    <row r="2828" spans="9:11" ht="15" customHeight="1">
      <c r="I2828" s="35"/>
      <c r="J2828" s="35"/>
      <c r="K2828" s="35"/>
    </row>
    <row r="2829" spans="9:11" ht="15" customHeight="1">
      <c r="I2829" s="35"/>
      <c r="J2829" s="35"/>
      <c r="K2829" s="35"/>
    </row>
    <row r="2830" spans="9:11" ht="15" customHeight="1">
      <c r="I2830" s="35"/>
      <c r="J2830" s="35"/>
      <c r="K2830" s="35"/>
    </row>
    <row r="2831" spans="9:11" ht="15" customHeight="1">
      <c r="I2831" s="35"/>
      <c r="J2831" s="35"/>
      <c r="K2831" s="35"/>
    </row>
    <row r="2832" spans="9:11" ht="15" customHeight="1">
      <c r="I2832" s="35"/>
      <c r="J2832" s="35"/>
      <c r="K2832" s="35"/>
    </row>
    <row r="2833" spans="9:11" ht="15" customHeight="1">
      <c r="I2833" s="35"/>
      <c r="J2833" s="35"/>
      <c r="K2833" s="35"/>
    </row>
    <row r="2834" spans="9:11" ht="15" customHeight="1">
      <c r="I2834" s="35"/>
      <c r="J2834" s="35"/>
      <c r="K2834" s="35"/>
    </row>
    <row r="2835" spans="9:11" ht="15" customHeight="1">
      <c r="I2835" s="35"/>
      <c r="J2835" s="35"/>
      <c r="K2835" s="35"/>
    </row>
    <row r="2836" spans="9:11" ht="15" customHeight="1">
      <c r="I2836" s="35"/>
      <c r="J2836" s="35"/>
      <c r="K2836" s="35"/>
    </row>
    <row r="2837" spans="9:11" ht="15" customHeight="1">
      <c r="I2837" s="35"/>
      <c r="J2837" s="35"/>
      <c r="K2837" s="35"/>
    </row>
    <row r="2838" spans="9:11" ht="15" customHeight="1">
      <c r="I2838" s="35"/>
      <c r="J2838" s="35"/>
      <c r="K2838" s="35"/>
    </row>
    <row r="2839" spans="9:11" ht="15" customHeight="1">
      <c r="I2839" s="35"/>
      <c r="J2839" s="35"/>
      <c r="K2839" s="35"/>
    </row>
    <row r="2840" spans="9:11" ht="15" customHeight="1">
      <c r="I2840" s="35"/>
      <c r="J2840" s="35"/>
      <c r="K2840" s="35"/>
    </row>
    <row r="2841" spans="9:11" ht="15" customHeight="1">
      <c r="I2841" s="35"/>
      <c r="J2841" s="35"/>
      <c r="K2841" s="35"/>
    </row>
    <row r="2842" spans="9:11" ht="15" customHeight="1">
      <c r="I2842" s="35"/>
      <c r="J2842" s="35"/>
      <c r="K2842" s="35"/>
    </row>
    <row r="2843" spans="9:11" ht="15" customHeight="1">
      <c r="I2843" s="35"/>
      <c r="J2843" s="35"/>
      <c r="K2843" s="35"/>
    </row>
    <row r="2844" spans="9:11" ht="15" customHeight="1">
      <c r="I2844" s="35"/>
      <c r="J2844" s="35"/>
      <c r="K2844" s="35"/>
    </row>
    <row r="2845" spans="9:11" ht="15" customHeight="1">
      <c r="I2845" s="35"/>
      <c r="J2845" s="35"/>
      <c r="K2845" s="35"/>
    </row>
    <row r="2846" spans="9:11" ht="15" customHeight="1">
      <c r="I2846" s="35"/>
      <c r="J2846" s="35"/>
      <c r="K2846" s="35"/>
    </row>
    <row r="2847" spans="9:11" ht="15" customHeight="1">
      <c r="I2847" s="35"/>
      <c r="J2847" s="35"/>
      <c r="K2847" s="35"/>
    </row>
    <row r="2848" spans="9:11" ht="15" customHeight="1">
      <c r="I2848" s="35"/>
      <c r="J2848" s="35"/>
      <c r="K2848" s="35"/>
    </row>
    <row r="2849" spans="9:11" ht="15" customHeight="1">
      <c r="I2849" s="35"/>
      <c r="J2849" s="35"/>
      <c r="K2849" s="35"/>
    </row>
    <row r="2850" spans="9:11" ht="15" customHeight="1">
      <c r="I2850" s="35"/>
      <c r="J2850" s="35"/>
      <c r="K2850" s="35"/>
    </row>
    <row r="2851" spans="9:11" ht="15" customHeight="1">
      <c r="I2851" s="35"/>
      <c r="J2851" s="35"/>
      <c r="K2851" s="35"/>
    </row>
    <row r="2852" spans="9:11" ht="15" customHeight="1">
      <c r="I2852" s="35"/>
      <c r="J2852" s="35"/>
      <c r="K2852" s="35"/>
    </row>
    <row r="2853" spans="9:11" ht="15" customHeight="1">
      <c r="I2853" s="35"/>
      <c r="J2853" s="35"/>
      <c r="K2853" s="35"/>
    </row>
    <row r="2854" spans="9:11" ht="15" customHeight="1">
      <c r="I2854" s="35"/>
      <c r="J2854" s="35"/>
      <c r="K2854" s="35"/>
    </row>
    <row r="2855" spans="9:11" ht="15" customHeight="1">
      <c r="I2855" s="35"/>
      <c r="J2855" s="35"/>
      <c r="K2855" s="35"/>
    </row>
    <row r="2856" spans="9:11" ht="15" customHeight="1">
      <c r="I2856" s="35"/>
      <c r="J2856" s="35"/>
      <c r="K2856" s="35"/>
    </row>
    <row r="2857" spans="9:11" ht="15" customHeight="1">
      <c r="I2857" s="35"/>
      <c r="J2857" s="35"/>
      <c r="K2857" s="35"/>
    </row>
    <row r="2858" spans="9:11" ht="15" customHeight="1">
      <c r="I2858" s="35"/>
      <c r="J2858" s="35"/>
      <c r="K2858" s="35"/>
    </row>
    <row r="2859" spans="9:11" ht="15" customHeight="1">
      <c r="I2859" s="35"/>
      <c r="J2859" s="35"/>
      <c r="K2859" s="35"/>
    </row>
    <row r="2860" spans="9:11" ht="15" customHeight="1">
      <c r="I2860" s="35"/>
      <c r="J2860" s="35"/>
      <c r="K2860" s="35"/>
    </row>
    <row r="2861" spans="9:11" ht="15" customHeight="1">
      <c r="I2861" s="35"/>
      <c r="J2861" s="35"/>
      <c r="K2861" s="35"/>
    </row>
    <row r="2862" spans="9:11" ht="15" customHeight="1">
      <c r="I2862" s="35"/>
      <c r="J2862" s="35"/>
      <c r="K2862" s="35"/>
    </row>
    <row r="2863" spans="9:11" ht="15" customHeight="1">
      <c r="I2863" s="35"/>
      <c r="J2863" s="35"/>
      <c r="K2863" s="35"/>
    </row>
    <row r="2864" spans="9:11" ht="15" customHeight="1">
      <c r="I2864" s="35"/>
      <c r="J2864" s="35"/>
      <c r="K2864" s="35"/>
    </row>
    <row r="2865" spans="9:11" ht="15" customHeight="1">
      <c r="I2865" s="35"/>
      <c r="J2865" s="35"/>
      <c r="K2865" s="35"/>
    </row>
    <row r="2866" spans="9:11" ht="15" customHeight="1">
      <c r="I2866" s="35"/>
      <c r="J2866" s="35"/>
      <c r="K2866" s="35"/>
    </row>
    <row r="2867" spans="9:11" ht="15" customHeight="1">
      <c r="I2867" s="35"/>
      <c r="J2867" s="35"/>
      <c r="K2867" s="35"/>
    </row>
    <row r="2868" spans="9:11" ht="15" customHeight="1">
      <c r="I2868" s="35"/>
      <c r="J2868" s="35"/>
      <c r="K2868" s="35"/>
    </row>
    <row r="2869" spans="9:11" ht="15" customHeight="1">
      <c r="I2869" s="35"/>
      <c r="J2869" s="35"/>
      <c r="K2869" s="35"/>
    </row>
    <row r="2870" spans="9:11" ht="15" customHeight="1">
      <c r="I2870" s="35"/>
      <c r="J2870" s="35"/>
      <c r="K2870" s="35"/>
    </row>
    <row r="2871" spans="9:11" ht="15" customHeight="1">
      <c r="I2871" s="35"/>
      <c r="J2871" s="35"/>
      <c r="K2871" s="35"/>
    </row>
    <row r="2872" spans="9:11" ht="15" customHeight="1">
      <c r="I2872" s="35"/>
      <c r="J2872" s="35"/>
      <c r="K2872" s="35"/>
    </row>
    <row r="2873" spans="9:11" ht="15" customHeight="1">
      <c r="I2873" s="35"/>
      <c r="J2873" s="35"/>
      <c r="K2873" s="35"/>
    </row>
    <row r="2874" spans="9:11" ht="15" customHeight="1">
      <c r="I2874" s="35"/>
      <c r="J2874" s="35"/>
      <c r="K2874" s="35"/>
    </row>
    <row r="2875" spans="9:11" ht="15" customHeight="1">
      <c r="I2875" s="35"/>
      <c r="J2875" s="35"/>
      <c r="K2875" s="35"/>
    </row>
    <row r="2876" spans="9:11" ht="15" customHeight="1">
      <c r="I2876" s="35"/>
      <c r="J2876" s="35"/>
      <c r="K2876" s="35"/>
    </row>
    <row r="2877" spans="9:11" ht="15" customHeight="1">
      <c r="I2877" s="35"/>
      <c r="J2877" s="35"/>
      <c r="K2877" s="35"/>
    </row>
    <row r="2878" spans="9:11" ht="15" customHeight="1">
      <c r="I2878" s="35"/>
      <c r="J2878" s="35"/>
      <c r="K2878" s="35"/>
    </row>
    <row r="2879" spans="9:11" ht="15" customHeight="1">
      <c r="I2879" s="35"/>
      <c r="J2879" s="35"/>
      <c r="K2879" s="35"/>
    </row>
    <row r="2880" spans="9:11" ht="15" customHeight="1">
      <c r="I2880" s="35"/>
      <c r="J2880" s="35"/>
      <c r="K2880" s="35"/>
    </row>
    <row r="2881" spans="9:11" ht="15" customHeight="1">
      <c r="I2881" s="35"/>
      <c r="J2881" s="35"/>
      <c r="K2881" s="35"/>
    </row>
    <row r="2882" spans="9:11" ht="15" customHeight="1">
      <c r="I2882" s="35"/>
      <c r="J2882" s="35"/>
      <c r="K2882" s="35"/>
    </row>
    <row r="2883" spans="9:11" ht="15" customHeight="1">
      <c r="I2883" s="35"/>
      <c r="J2883" s="35"/>
      <c r="K2883" s="35"/>
    </row>
    <row r="2884" spans="9:11" ht="15" customHeight="1">
      <c r="I2884" s="35"/>
      <c r="J2884" s="35"/>
      <c r="K2884" s="35"/>
    </row>
    <row r="2885" spans="9:11" ht="15" customHeight="1">
      <c r="I2885" s="35"/>
      <c r="J2885" s="35"/>
      <c r="K2885" s="35"/>
    </row>
    <row r="2886" spans="9:11" ht="15" customHeight="1">
      <c r="I2886" s="35"/>
      <c r="J2886" s="35"/>
      <c r="K2886" s="35"/>
    </row>
    <row r="2887" spans="9:11" ht="15" customHeight="1">
      <c r="I2887" s="35"/>
      <c r="J2887" s="35"/>
      <c r="K2887" s="35"/>
    </row>
    <row r="2888" spans="9:11" ht="15" customHeight="1">
      <c r="I2888" s="35"/>
      <c r="J2888" s="35"/>
      <c r="K2888" s="35"/>
    </row>
    <row r="2889" spans="9:11" ht="15" customHeight="1">
      <c r="I2889" s="35"/>
      <c r="J2889" s="35"/>
      <c r="K2889" s="35"/>
    </row>
    <row r="2890" spans="9:11" ht="15" customHeight="1">
      <c r="I2890" s="35"/>
      <c r="J2890" s="35"/>
      <c r="K2890" s="35"/>
    </row>
    <row r="2891" spans="9:11" ht="15" customHeight="1">
      <c r="I2891" s="35"/>
      <c r="J2891" s="35"/>
      <c r="K2891" s="35"/>
    </row>
    <row r="2892" spans="9:11" ht="15" customHeight="1">
      <c r="I2892" s="35"/>
      <c r="J2892" s="35"/>
      <c r="K2892" s="35"/>
    </row>
    <row r="2893" spans="9:11" ht="15" customHeight="1">
      <c r="I2893" s="35"/>
      <c r="J2893" s="35"/>
      <c r="K2893" s="35"/>
    </row>
    <row r="2894" spans="9:11" ht="15" customHeight="1">
      <c r="I2894" s="35"/>
      <c r="J2894" s="35"/>
      <c r="K2894" s="35"/>
    </row>
    <row r="2895" spans="9:11" ht="15" customHeight="1">
      <c r="I2895" s="35"/>
      <c r="J2895" s="35"/>
      <c r="K2895" s="35"/>
    </row>
    <row r="2896" spans="9:11" ht="15" customHeight="1">
      <c r="I2896" s="35"/>
      <c r="J2896" s="35"/>
      <c r="K2896" s="35"/>
    </row>
    <row r="2897" spans="9:11" ht="15" customHeight="1">
      <c r="I2897" s="35"/>
      <c r="J2897" s="35"/>
      <c r="K2897" s="35"/>
    </row>
    <row r="2898" spans="9:11" ht="15" customHeight="1">
      <c r="I2898" s="35"/>
      <c r="J2898" s="35"/>
      <c r="K2898" s="35"/>
    </row>
    <row r="2899" spans="9:11" ht="15" customHeight="1">
      <c r="I2899" s="35"/>
      <c r="J2899" s="35"/>
      <c r="K2899" s="35"/>
    </row>
    <row r="2900" spans="9:11" ht="15" customHeight="1">
      <c r="I2900" s="35"/>
      <c r="J2900" s="35"/>
      <c r="K2900" s="35"/>
    </row>
    <row r="2901" spans="9:11" ht="15" customHeight="1">
      <c r="I2901" s="35"/>
      <c r="J2901" s="35"/>
      <c r="K2901" s="35"/>
    </row>
    <row r="2902" spans="9:11" ht="15" customHeight="1">
      <c r="I2902" s="35"/>
      <c r="J2902" s="35"/>
      <c r="K2902" s="35"/>
    </row>
    <row r="2903" spans="9:11" ht="15" customHeight="1">
      <c r="I2903" s="35"/>
      <c r="J2903" s="35"/>
      <c r="K2903" s="35"/>
    </row>
    <row r="2904" spans="9:11" ht="15" customHeight="1">
      <c r="I2904" s="35"/>
      <c r="J2904" s="35"/>
      <c r="K2904" s="35"/>
    </row>
    <row r="2905" spans="9:11" ht="15" customHeight="1">
      <c r="I2905" s="35"/>
      <c r="J2905" s="35"/>
      <c r="K2905" s="35"/>
    </row>
    <row r="2906" spans="9:11" ht="15" customHeight="1">
      <c r="I2906" s="35"/>
      <c r="J2906" s="35"/>
      <c r="K2906" s="35"/>
    </row>
    <row r="2907" spans="9:11" ht="15" customHeight="1">
      <c r="I2907" s="35"/>
      <c r="J2907" s="35"/>
      <c r="K2907" s="35"/>
    </row>
    <row r="2908" spans="9:11" ht="15" customHeight="1">
      <c r="I2908" s="35"/>
      <c r="J2908" s="35"/>
      <c r="K2908" s="35"/>
    </row>
    <row r="2909" spans="9:11" ht="15" customHeight="1">
      <c r="I2909" s="35"/>
      <c r="J2909" s="35"/>
      <c r="K2909" s="35"/>
    </row>
    <row r="2910" spans="9:11" ht="15" customHeight="1">
      <c r="I2910" s="35"/>
      <c r="J2910" s="35"/>
      <c r="K2910" s="35"/>
    </row>
    <row r="2911" spans="9:11" ht="15" customHeight="1">
      <c r="I2911" s="35"/>
      <c r="J2911" s="35"/>
      <c r="K2911" s="35"/>
    </row>
    <row r="2912" spans="9:11" ht="15" customHeight="1">
      <c r="I2912" s="35"/>
      <c r="J2912" s="35"/>
      <c r="K2912" s="35"/>
    </row>
    <row r="2913" spans="9:11" ht="15" customHeight="1">
      <c r="I2913" s="35"/>
      <c r="J2913" s="35"/>
      <c r="K2913" s="35"/>
    </row>
    <row r="2914" spans="9:11" ht="15" customHeight="1">
      <c r="I2914" s="35"/>
      <c r="J2914" s="35"/>
      <c r="K2914" s="35"/>
    </row>
    <row r="2915" spans="9:11" ht="15" customHeight="1">
      <c r="I2915" s="35"/>
      <c r="J2915" s="35"/>
      <c r="K2915" s="35"/>
    </row>
    <row r="2916" spans="9:11" ht="15" customHeight="1">
      <c r="I2916" s="35"/>
      <c r="J2916" s="35"/>
      <c r="K2916" s="35"/>
    </row>
    <row r="2917" spans="9:11" ht="15" customHeight="1">
      <c r="I2917" s="35"/>
      <c r="J2917" s="35"/>
      <c r="K2917" s="35"/>
    </row>
    <row r="2918" spans="9:11" ht="15" customHeight="1">
      <c r="I2918" s="35"/>
      <c r="J2918" s="35"/>
      <c r="K2918" s="35"/>
    </row>
    <row r="2919" spans="9:11" ht="15" customHeight="1">
      <c r="I2919" s="35"/>
      <c r="J2919" s="35"/>
      <c r="K2919" s="35"/>
    </row>
    <row r="2920" spans="9:11" ht="15" customHeight="1">
      <c r="I2920" s="35"/>
      <c r="J2920" s="35"/>
      <c r="K2920" s="35"/>
    </row>
    <row r="2921" spans="9:11" ht="15" customHeight="1">
      <c r="I2921" s="35"/>
      <c r="J2921" s="35"/>
      <c r="K2921" s="35"/>
    </row>
    <row r="2922" spans="9:11" ht="15" customHeight="1">
      <c r="I2922" s="35"/>
      <c r="J2922" s="35"/>
      <c r="K2922" s="35"/>
    </row>
    <row r="2923" spans="9:11" ht="15" customHeight="1">
      <c r="I2923" s="35"/>
      <c r="J2923" s="35"/>
      <c r="K2923" s="35"/>
    </row>
    <row r="2924" spans="9:11" ht="15" customHeight="1">
      <c r="I2924" s="35"/>
      <c r="J2924" s="35"/>
      <c r="K2924" s="35"/>
    </row>
    <row r="2925" spans="9:11" ht="15" customHeight="1">
      <c r="I2925" s="35"/>
      <c r="J2925" s="35"/>
      <c r="K2925" s="35"/>
    </row>
    <row r="2926" spans="9:11" ht="15" customHeight="1">
      <c r="I2926" s="35"/>
      <c r="J2926" s="35"/>
      <c r="K2926" s="35"/>
    </row>
    <row r="2927" spans="9:11" ht="15" customHeight="1">
      <c r="I2927" s="35"/>
      <c r="J2927" s="35"/>
      <c r="K2927" s="35"/>
    </row>
    <row r="2928" spans="9:11" ht="15" customHeight="1">
      <c r="I2928" s="35"/>
      <c r="J2928" s="35"/>
      <c r="K2928" s="35"/>
    </row>
    <row r="2929" spans="9:11" ht="15" customHeight="1">
      <c r="I2929" s="35"/>
      <c r="J2929" s="35"/>
      <c r="K2929" s="35"/>
    </row>
    <row r="2930" spans="9:11" ht="15" customHeight="1">
      <c r="I2930" s="35"/>
      <c r="J2930" s="35"/>
      <c r="K2930" s="35"/>
    </row>
    <row r="2931" spans="9:11" ht="15" customHeight="1">
      <c r="I2931" s="35"/>
      <c r="J2931" s="35"/>
      <c r="K2931" s="35"/>
    </row>
    <row r="2932" spans="9:11" ht="15" customHeight="1">
      <c r="I2932" s="35"/>
      <c r="J2932" s="35"/>
      <c r="K2932" s="35"/>
    </row>
    <row r="2933" spans="9:11" ht="15" customHeight="1">
      <c r="I2933" s="35"/>
      <c r="J2933" s="35"/>
      <c r="K2933" s="35"/>
    </row>
    <row r="2934" spans="9:11" ht="15" customHeight="1">
      <c r="I2934" s="35"/>
      <c r="J2934" s="35"/>
      <c r="K2934" s="35"/>
    </row>
    <row r="2935" spans="9:11" ht="15" customHeight="1">
      <c r="I2935" s="35"/>
      <c r="J2935" s="35"/>
      <c r="K2935" s="35"/>
    </row>
    <row r="2936" spans="9:11" ht="15" customHeight="1">
      <c r="I2936" s="35"/>
      <c r="J2936" s="35"/>
      <c r="K2936" s="35"/>
    </row>
    <row r="2937" spans="9:11" ht="15" customHeight="1">
      <c r="I2937" s="35"/>
      <c r="J2937" s="35"/>
      <c r="K2937" s="35"/>
    </row>
    <row r="2938" spans="9:11" ht="15" customHeight="1">
      <c r="I2938" s="35"/>
      <c r="J2938" s="35"/>
      <c r="K2938" s="35"/>
    </row>
    <row r="2939" spans="9:11" ht="15" customHeight="1">
      <c r="I2939" s="35"/>
      <c r="J2939" s="35"/>
      <c r="K2939" s="35"/>
    </row>
    <row r="2940" spans="9:11" ht="15" customHeight="1">
      <c r="I2940" s="35"/>
      <c r="J2940" s="35"/>
      <c r="K2940" s="35"/>
    </row>
    <row r="2941" spans="9:11" ht="15" customHeight="1">
      <c r="I2941" s="35"/>
      <c r="J2941" s="35"/>
      <c r="K2941" s="35"/>
    </row>
    <row r="2942" spans="9:11" ht="15" customHeight="1">
      <c r="I2942" s="35"/>
      <c r="J2942" s="35"/>
      <c r="K2942" s="35"/>
    </row>
    <row r="2943" spans="9:11" ht="15" customHeight="1">
      <c r="I2943" s="35"/>
      <c r="J2943" s="35"/>
      <c r="K2943" s="35"/>
    </row>
    <row r="2944" spans="9:11" ht="15" customHeight="1">
      <c r="I2944" s="35"/>
      <c r="J2944" s="35"/>
      <c r="K2944" s="35"/>
    </row>
    <row r="2945" spans="9:11" ht="15" customHeight="1">
      <c r="I2945" s="35"/>
      <c r="J2945" s="35"/>
      <c r="K2945" s="35"/>
    </row>
    <row r="2946" spans="9:11" ht="15" customHeight="1">
      <c r="I2946" s="35"/>
      <c r="J2946" s="35"/>
      <c r="K2946" s="35"/>
    </row>
    <row r="2947" spans="9:11" ht="15" customHeight="1">
      <c r="I2947" s="35"/>
      <c r="J2947" s="35"/>
      <c r="K2947" s="35"/>
    </row>
    <row r="2948" spans="9:11" ht="15" customHeight="1">
      <c r="I2948" s="35"/>
      <c r="J2948" s="35"/>
      <c r="K2948" s="35"/>
    </row>
    <row r="2949" spans="9:11" ht="15" customHeight="1">
      <c r="I2949" s="35"/>
      <c r="J2949" s="35"/>
      <c r="K2949" s="35"/>
    </row>
    <row r="2950" spans="9:11" ht="15" customHeight="1">
      <c r="I2950" s="35"/>
      <c r="J2950" s="35"/>
      <c r="K2950" s="35"/>
    </row>
    <row r="2951" spans="9:11" ht="15" customHeight="1">
      <c r="I2951" s="35"/>
      <c r="J2951" s="35"/>
      <c r="K2951" s="35"/>
    </row>
    <row r="2952" spans="9:11" ht="15" customHeight="1">
      <c r="I2952" s="35"/>
      <c r="J2952" s="35"/>
      <c r="K2952" s="35"/>
    </row>
    <row r="2953" spans="9:11" ht="15" customHeight="1">
      <c r="I2953" s="35"/>
      <c r="J2953" s="35"/>
      <c r="K2953" s="35"/>
    </row>
    <row r="2954" spans="9:11" ht="15" customHeight="1">
      <c r="I2954" s="35"/>
      <c r="J2954" s="35"/>
      <c r="K2954" s="35"/>
    </row>
    <row r="2955" spans="9:11" ht="15" customHeight="1">
      <c r="I2955" s="35"/>
      <c r="J2955" s="35"/>
      <c r="K2955" s="35"/>
    </row>
    <row r="2956" spans="9:11" ht="15" customHeight="1">
      <c r="I2956" s="35"/>
      <c r="J2956" s="35"/>
      <c r="K2956" s="35"/>
    </row>
    <row r="2957" spans="9:11" ht="15" customHeight="1">
      <c r="I2957" s="35"/>
      <c r="J2957" s="35"/>
      <c r="K2957" s="35"/>
    </row>
    <row r="2958" spans="9:11" ht="15" customHeight="1">
      <c r="I2958" s="35"/>
      <c r="J2958" s="35"/>
      <c r="K2958" s="35"/>
    </row>
    <row r="2959" spans="9:11" ht="15" customHeight="1">
      <c r="I2959" s="35"/>
      <c r="J2959" s="35"/>
      <c r="K2959" s="35"/>
    </row>
    <row r="2960" spans="9:11" ht="15" customHeight="1">
      <c r="I2960" s="35"/>
      <c r="J2960" s="35"/>
      <c r="K2960" s="35"/>
    </row>
    <row r="2961" spans="9:11" ht="15" customHeight="1">
      <c r="I2961" s="35"/>
      <c r="J2961" s="35"/>
      <c r="K2961" s="35"/>
    </row>
    <row r="2962" spans="9:11" ht="15" customHeight="1">
      <c r="I2962" s="35"/>
      <c r="J2962" s="35"/>
      <c r="K2962" s="35"/>
    </row>
    <row r="2963" spans="9:11" ht="15" customHeight="1">
      <c r="I2963" s="35"/>
      <c r="J2963" s="35"/>
      <c r="K2963" s="35"/>
    </row>
    <row r="2964" spans="9:11" ht="15" customHeight="1">
      <c r="I2964" s="35"/>
      <c r="J2964" s="35"/>
      <c r="K2964" s="35"/>
    </row>
    <row r="2965" spans="9:11" ht="15" customHeight="1">
      <c r="I2965" s="35"/>
      <c r="J2965" s="35"/>
      <c r="K2965" s="35"/>
    </row>
    <row r="2966" spans="9:11" ht="15" customHeight="1">
      <c r="I2966" s="35"/>
      <c r="J2966" s="35"/>
      <c r="K2966" s="35"/>
    </row>
    <row r="2967" spans="9:11" ht="15" customHeight="1">
      <c r="I2967" s="35"/>
      <c r="J2967" s="35"/>
      <c r="K2967" s="35"/>
    </row>
    <row r="2968" spans="9:11" ht="15" customHeight="1">
      <c r="I2968" s="35"/>
      <c r="J2968" s="35"/>
      <c r="K2968" s="35"/>
    </row>
    <row r="2969" spans="9:11" ht="15" customHeight="1">
      <c r="I2969" s="35"/>
      <c r="J2969" s="35"/>
      <c r="K2969" s="35"/>
    </row>
    <row r="2970" spans="9:11" ht="15" customHeight="1">
      <c r="I2970" s="35"/>
      <c r="J2970" s="35"/>
      <c r="K2970" s="35"/>
    </row>
    <row r="2971" spans="9:11" ht="15" customHeight="1">
      <c r="I2971" s="35"/>
      <c r="J2971" s="35"/>
      <c r="K2971" s="35"/>
    </row>
    <row r="2972" spans="9:11" ht="15" customHeight="1">
      <c r="I2972" s="35"/>
      <c r="J2972" s="35"/>
      <c r="K2972" s="35"/>
    </row>
    <row r="2973" spans="9:11" ht="15" customHeight="1">
      <c r="I2973" s="35"/>
      <c r="J2973" s="35"/>
      <c r="K2973" s="35"/>
    </row>
    <row r="2974" spans="9:11" ht="15" customHeight="1">
      <c r="I2974" s="35"/>
      <c r="J2974" s="35"/>
      <c r="K2974" s="35"/>
    </row>
    <row r="2975" spans="9:11" ht="15" customHeight="1">
      <c r="I2975" s="35"/>
      <c r="J2975" s="35"/>
      <c r="K2975" s="35"/>
    </row>
    <row r="2976" spans="9:11" ht="15" customHeight="1">
      <c r="I2976" s="35"/>
      <c r="J2976" s="35"/>
      <c r="K2976" s="35"/>
    </row>
    <row r="2977" spans="9:11" ht="15" customHeight="1">
      <c r="I2977" s="35"/>
      <c r="J2977" s="35"/>
      <c r="K2977" s="35"/>
    </row>
    <row r="2978" spans="9:11" ht="15" customHeight="1">
      <c r="I2978" s="35"/>
      <c r="J2978" s="35"/>
      <c r="K2978" s="35"/>
    </row>
    <row r="2979" spans="9:11" ht="15" customHeight="1">
      <c r="I2979" s="35"/>
      <c r="J2979" s="35"/>
      <c r="K2979" s="35"/>
    </row>
    <row r="2980" spans="9:11" ht="15" customHeight="1">
      <c r="I2980" s="35"/>
      <c r="J2980" s="35"/>
      <c r="K2980" s="35"/>
    </row>
    <row r="2981" spans="9:11" ht="15" customHeight="1">
      <c r="I2981" s="35"/>
      <c r="J2981" s="35"/>
      <c r="K2981" s="35"/>
    </row>
    <row r="2982" spans="9:11" ht="15" customHeight="1">
      <c r="I2982" s="35"/>
      <c r="J2982" s="35"/>
      <c r="K2982" s="35"/>
    </row>
    <row r="2983" spans="9:11" ht="15" customHeight="1">
      <c r="I2983" s="35"/>
      <c r="J2983" s="35"/>
      <c r="K2983" s="35"/>
    </row>
    <row r="2984" spans="9:11" ht="15" customHeight="1">
      <c r="I2984" s="35"/>
      <c r="J2984" s="35"/>
      <c r="K2984" s="35"/>
    </row>
    <row r="2985" spans="9:11" ht="15" customHeight="1">
      <c r="I2985" s="35"/>
      <c r="J2985" s="35"/>
      <c r="K2985" s="35"/>
    </row>
    <row r="2986" spans="9:11" ht="15" customHeight="1">
      <c r="I2986" s="35"/>
      <c r="J2986" s="35"/>
      <c r="K2986" s="35"/>
    </row>
    <row r="2987" spans="9:11" ht="15" customHeight="1">
      <c r="I2987" s="35"/>
      <c r="J2987" s="35"/>
      <c r="K2987" s="35"/>
    </row>
    <row r="2988" spans="9:11" ht="15" customHeight="1">
      <c r="I2988" s="35"/>
      <c r="J2988" s="35"/>
      <c r="K2988" s="35"/>
    </row>
    <row r="2989" spans="9:11" ht="15" customHeight="1">
      <c r="I2989" s="35"/>
      <c r="J2989" s="35"/>
      <c r="K2989" s="35"/>
    </row>
    <row r="2990" spans="9:11" ht="15" customHeight="1">
      <c r="I2990" s="35"/>
      <c r="J2990" s="35"/>
      <c r="K2990" s="35"/>
    </row>
    <row r="2991" spans="9:11" ht="15" customHeight="1">
      <c r="I2991" s="35"/>
      <c r="J2991" s="35"/>
      <c r="K2991" s="35"/>
    </row>
    <row r="2992" spans="9:11" ht="15" customHeight="1">
      <c r="I2992" s="35"/>
      <c r="J2992" s="35"/>
      <c r="K2992" s="35"/>
    </row>
    <row r="2993" spans="9:11" ht="15" customHeight="1">
      <c r="I2993" s="35"/>
      <c r="J2993" s="35"/>
      <c r="K2993" s="35"/>
    </row>
    <row r="2994" spans="9:11" ht="15" customHeight="1">
      <c r="I2994" s="35"/>
      <c r="J2994" s="35"/>
      <c r="K2994" s="35"/>
    </row>
    <row r="2995" spans="9:11" ht="15" customHeight="1">
      <c r="I2995" s="35"/>
      <c r="J2995" s="35"/>
      <c r="K2995" s="35"/>
    </row>
    <row r="2996" spans="9:11" ht="15" customHeight="1">
      <c r="I2996" s="35"/>
      <c r="J2996" s="35"/>
      <c r="K2996" s="35"/>
    </row>
    <row r="2997" spans="9:11" ht="15" customHeight="1">
      <c r="I2997" s="35"/>
      <c r="J2997" s="35"/>
      <c r="K2997" s="35"/>
    </row>
    <row r="2998" spans="9:11" ht="15" customHeight="1">
      <c r="I2998" s="35"/>
      <c r="J2998" s="35"/>
      <c r="K2998" s="35"/>
    </row>
    <row r="2999" spans="9:11" ht="15" customHeight="1">
      <c r="I2999" s="35"/>
      <c r="J2999" s="35"/>
      <c r="K2999" s="35"/>
    </row>
    <row r="3000" spans="9:11" ht="15" customHeight="1">
      <c r="I3000" s="35"/>
      <c r="J3000" s="35"/>
      <c r="K3000" s="35"/>
    </row>
    <row r="3001" spans="9:11" ht="15" customHeight="1">
      <c r="I3001" s="35"/>
      <c r="J3001" s="35"/>
      <c r="K3001" s="35"/>
    </row>
    <row r="3002" spans="9:11" ht="15" customHeight="1">
      <c r="I3002" s="35"/>
      <c r="J3002" s="35"/>
      <c r="K3002" s="35"/>
    </row>
    <row r="3003" spans="9:11" ht="15" customHeight="1">
      <c r="I3003" s="35"/>
      <c r="J3003" s="35"/>
      <c r="K3003" s="35"/>
    </row>
    <row r="3004" spans="9:11" ht="15" customHeight="1">
      <c r="I3004" s="35"/>
      <c r="J3004" s="35"/>
      <c r="K3004" s="35"/>
    </row>
    <row r="3005" spans="9:11" ht="15" customHeight="1">
      <c r="I3005" s="35"/>
      <c r="J3005" s="35"/>
      <c r="K3005" s="35"/>
    </row>
    <row r="3006" spans="9:11" ht="15" customHeight="1">
      <c r="I3006" s="35"/>
      <c r="J3006" s="35"/>
      <c r="K3006" s="35"/>
    </row>
    <row r="3007" spans="9:11" ht="15" customHeight="1">
      <c r="I3007" s="35"/>
      <c r="J3007" s="35"/>
      <c r="K3007" s="35"/>
    </row>
    <row r="3008" spans="9:11" ht="15" customHeight="1">
      <c r="I3008" s="35"/>
      <c r="J3008" s="35"/>
      <c r="K3008" s="35"/>
    </row>
    <row r="3009" spans="9:11" ht="15" customHeight="1">
      <c r="I3009" s="35"/>
      <c r="J3009" s="35"/>
      <c r="K3009" s="35"/>
    </row>
    <row r="3010" spans="9:11" ht="15" customHeight="1">
      <c r="I3010" s="35"/>
      <c r="J3010" s="35"/>
      <c r="K3010" s="35"/>
    </row>
    <row r="3011" spans="9:11" ht="15" customHeight="1">
      <c r="I3011" s="35"/>
      <c r="J3011" s="35"/>
      <c r="K3011" s="35"/>
    </row>
    <row r="3012" spans="9:11" ht="15" customHeight="1">
      <c r="I3012" s="35"/>
      <c r="J3012" s="35"/>
      <c r="K3012" s="35"/>
    </row>
    <row r="3013" spans="9:11" ht="15" customHeight="1">
      <c r="I3013" s="35"/>
      <c r="J3013" s="35"/>
      <c r="K3013" s="35"/>
    </row>
    <row r="3014" spans="9:11" ht="15" customHeight="1">
      <c r="I3014" s="35"/>
      <c r="J3014" s="35"/>
      <c r="K3014" s="35"/>
    </row>
    <row r="3015" spans="9:11" ht="15" customHeight="1">
      <c r="I3015" s="35"/>
      <c r="J3015" s="35"/>
      <c r="K3015" s="35"/>
    </row>
    <row r="3016" spans="9:11" ht="15" customHeight="1">
      <c r="I3016" s="35"/>
      <c r="J3016" s="35"/>
      <c r="K3016" s="35"/>
    </row>
    <row r="3017" spans="9:11" ht="15" customHeight="1">
      <c r="I3017" s="35"/>
      <c r="J3017" s="35"/>
      <c r="K3017" s="35"/>
    </row>
    <row r="3018" spans="9:11" ht="15" customHeight="1">
      <c r="I3018" s="35"/>
      <c r="J3018" s="35"/>
      <c r="K3018" s="35"/>
    </row>
    <row r="3019" spans="9:11" ht="15" customHeight="1">
      <c r="I3019" s="35"/>
      <c r="J3019" s="35"/>
      <c r="K3019" s="35"/>
    </row>
    <row r="3020" spans="9:11" ht="15" customHeight="1">
      <c r="I3020" s="35"/>
      <c r="J3020" s="35"/>
      <c r="K3020" s="35"/>
    </row>
    <row r="3021" spans="9:11" ht="15" customHeight="1">
      <c r="I3021" s="35"/>
      <c r="J3021" s="35"/>
      <c r="K3021" s="35"/>
    </row>
    <row r="3022" spans="9:11" ht="15" customHeight="1">
      <c r="I3022" s="35"/>
      <c r="J3022" s="35"/>
      <c r="K3022" s="35"/>
    </row>
    <row r="3023" spans="9:11" ht="15" customHeight="1">
      <c r="I3023" s="35"/>
      <c r="J3023" s="35"/>
      <c r="K3023" s="35"/>
    </row>
    <row r="3024" spans="9:11" ht="15" customHeight="1">
      <c r="I3024" s="35"/>
      <c r="J3024" s="35"/>
      <c r="K3024" s="35"/>
    </row>
    <row r="3025" spans="9:11" ht="15" customHeight="1">
      <c r="I3025" s="35"/>
      <c r="J3025" s="35"/>
      <c r="K3025" s="35"/>
    </row>
    <row r="3026" spans="9:11" ht="15" customHeight="1">
      <c r="I3026" s="35"/>
      <c r="J3026" s="35"/>
      <c r="K3026" s="35"/>
    </row>
    <row r="3027" spans="9:11" ht="15" customHeight="1">
      <c r="I3027" s="35"/>
      <c r="J3027" s="35"/>
      <c r="K3027" s="35"/>
    </row>
    <row r="3028" spans="9:11" ht="15" customHeight="1">
      <c r="I3028" s="35"/>
      <c r="J3028" s="35"/>
      <c r="K3028" s="35"/>
    </row>
    <row r="3029" spans="9:11" ht="15" customHeight="1">
      <c r="I3029" s="35"/>
      <c r="J3029" s="35"/>
      <c r="K3029" s="35"/>
    </row>
    <row r="3030" spans="9:11" ht="15" customHeight="1">
      <c r="I3030" s="35"/>
      <c r="J3030" s="35"/>
      <c r="K3030" s="35"/>
    </row>
    <row r="3031" spans="9:11" ht="15" customHeight="1">
      <c r="I3031" s="35"/>
      <c r="J3031" s="35"/>
      <c r="K3031" s="35"/>
    </row>
    <row r="3032" spans="9:11" ht="15" customHeight="1">
      <c r="I3032" s="35"/>
      <c r="J3032" s="35"/>
      <c r="K3032" s="35"/>
    </row>
    <row r="3033" spans="9:11" ht="15" customHeight="1">
      <c r="I3033" s="35"/>
      <c r="J3033" s="35"/>
      <c r="K3033" s="35"/>
    </row>
    <row r="3034" spans="9:11" ht="15" customHeight="1">
      <c r="I3034" s="35"/>
      <c r="J3034" s="35"/>
      <c r="K3034" s="35"/>
    </row>
    <row r="3035" spans="9:11" ht="15" customHeight="1">
      <c r="I3035" s="35"/>
      <c r="J3035" s="35"/>
      <c r="K3035" s="35"/>
    </row>
    <row r="3036" spans="9:11" ht="15" customHeight="1">
      <c r="I3036" s="35"/>
      <c r="J3036" s="35"/>
      <c r="K3036" s="35"/>
    </row>
    <row r="3037" spans="9:11" ht="15" customHeight="1">
      <c r="I3037" s="35"/>
      <c r="J3037" s="35"/>
      <c r="K3037" s="35"/>
    </row>
    <row r="3038" spans="9:11" ht="15" customHeight="1">
      <c r="I3038" s="35"/>
      <c r="J3038" s="35"/>
      <c r="K3038" s="35"/>
    </row>
    <row r="3039" spans="9:11" ht="15" customHeight="1">
      <c r="I3039" s="35"/>
      <c r="J3039" s="35"/>
      <c r="K3039" s="35"/>
    </row>
    <row r="3040" spans="9:11" ht="15" customHeight="1">
      <c r="I3040" s="35"/>
      <c r="J3040" s="35"/>
      <c r="K3040" s="35"/>
    </row>
    <row r="3041" spans="9:11" ht="15" customHeight="1">
      <c r="I3041" s="35"/>
      <c r="J3041" s="35"/>
      <c r="K3041" s="35"/>
    </row>
    <row r="3042" spans="9:11" ht="15" customHeight="1">
      <c r="I3042" s="35"/>
      <c r="J3042" s="35"/>
      <c r="K3042" s="35"/>
    </row>
    <row r="3043" spans="9:11" ht="15" customHeight="1">
      <c r="I3043" s="35"/>
      <c r="J3043" s="35"/>
      <c r="K3043" s="35"/>
    </row>
    <row r="3044" spans="9:11" ht="15" customHeight="1">
      <c r="I3044" s="35"/>
      <c r="J3044" s="35"/>
      <c r="K3044" s="35"/>
    </row>
    <row r="3045" spans="9:11" ht="15" customHeight="1">
      <c r="I3045" s="35"/>
      <c r="J3045" s="35"/>
      <c r="K3045" s="35"/>
    </row>
    <row r="3046" spans="9:11" ht="15" customHeight="1">
      <c r="I3046" s="35"/>
      <c r="J3046" s="35"/>
      <c r="K3046" s="35"/>
    </row>
    <row r="3047" spans="9:11" ht="15" customHeight="1">
      <c r="I3047" s="35"/>
      <c r="J3047" s="35"/>
      <c r="K3047" s="35"/>
    </row>
    <row r="3048" spans="9:11" ht="15" customHeight="1">
      <c r="I3048" s="35"/>
      <c r="J3048" s="35"/>
      <c r="K3048" s="35"/>
    </row>
    <row r="3049" spans="9:11" ht="15" customHeight="1">
      <c r="I3049" s="35"/>
      <c r="J3049" s="35"/>
      <c r="K3049" s="35"/>
    </row>
    <row r="3050" spans="9:11" ht="15" customHeight="1">
      <c r="I3050" s="35"/>
      <c r="J3050" s="35"/>
      <c r="K3050" s="35"/>
    </row>
    <row r="3051" spans="9:11" ht="15" customHeight="1">
      <c r="I3051" s="35"/>
      <c r="J3051" s="35"/>
      <c r="K3051" s="35"/>
    </row>
    <row r="3052" spans="9:11" ht="15" customHeight="1">
      <c r="I3052" s="35"/>
      <c r="J3052" s="35"/>
      <c r="K3052" s="35"/>
    </row>
    <row r="3053" spans="9:11" ht="15" customHeight="1">
      <c r="I3053" s="35"/>
      <c r="J3053" s="35"/>
      <c r="K3053" s="35"/>
    </row>
    <row r="3054" spans="9:11" ht="15" customHeight="1">
      <c r="I3054" s="35"/>
      <c r="J3054" s="35"/>
      <c r="K3054" s="35"/>
    </row>
    <row r="3055" spans="9:11" ht="15" customHeight="1">
      <c r="I3055" s="35"/>
      <c r="J3055" s="35"/>
      <c r="K3055" s="35"/>
    </row>
    <row r="3056" spans="9:11" ht="15" customHeight="1">
      <c r="I3056" s="35"/>
      <c r="J3056" s="35"/>
      <c r="K3056" s="35"/>
    </row>
    <row r="3057" spans="9:11" ht="15" customHeight="1">
      <c r="I3057" s="35"/>
      <c r="J3057" s="35"/>
      <c r="K3057" s="35"/>
    </row>
    <row r="3058" spans="9:11" ht="15" customHeight="1">
      <c r="I3058" s="35"/>
      <c r="J3058" s="35"/>
      <c r="K3058" s="35"/>
    </row>
    <row r="3059" spans="9:11" ht="15" customHeight="1">
      <c r="I3059" s="35"/>
      <c r="J3059" s="35"/>
      <c r="K3059" s="35"/>
    </row>
    <row r="3060" spans="9:11" ht="15" customHeight="1">
      <c r="I3060" s="35"/>
      <c r="J3060" s="35"/>
      <c r="K3060" s="35"/>
    </row>
    <row r="3061" spans="9:11" ht="15" customHeight="1">
      <c r="I3061" s="35"/>
      <c r="J3061" s="35"/>
      <c r="K3061" s="35"/>
    </row>
    <row r="3062" spans="9:11" ht="15" customHeight="1">
      <c r="I3062" s="35"/>
      <c r="J3062" s="35"/>
      <c r="K3062" s="35"/>
    </row>
    <row r="3063" spans="9:11" ht="15" customHeight="1">
      <c r="I3063" s="35"/>
      <c r="J3063" s="35"/>
      <c r="K3063" s="35"/>
    </row>
    <row r="3064" spans="9:11" ht="15" customHeight="1">
      <c r="I3064" s="35"/>
      <c r="J3064" s="35"/>
      <c r="K3064" s="35"/>
    </row>
    <row r="3065" spans="9:11" ht="15" customHeight="1">
      <c r="I3065" s="35"/>
      <c r="J3065" s="35"/>
      <c r="K3065" s="35"/>
    </row>
    <row r="3066" spans="9:11" ht="15" customHeight="1">
      <c r="I3066" s="35"/>
      <c r="J3066" s="35"/>
      <c r="K3066" s="35"/>
    </row>
    <row r="3067" spans="9:11" ht="15" customHeight="1">
      <c r="I3067" s="35"/>
      <c r="J3067" s="35"/>
      <c r="K3067" s="35"/>
    </row>
    <row r="3068" spans="9:11" ht="15" customHeight="1">
      <c r="I3068" s="35"/>
      <c r="J3068" s="35"/>
      <c r="K3068" s="35"/>
    </row>
    <row r="3069" spans="9:11" ht="15" customHeight="1">
      <c r="I3069" s="35"/>
      <c r="J3069" s="35"/>
      <c r="K3069" s="35"/>
    </row>
    <row r="3070" spans="9:11" ht="15" customHeight="1">
      <c r="I3070" s="35"/>
      <c r="J3070" s="35"/>
      <c r="K3070" s="35"/>
    </row>
    <row r="3071" spans="9:11" ht="15" customHeight="1">
      <c r="I3071" s="35"/>
      <c r="J3071" s="35"/>
      <c r="K3071" s="35"/>
    </row>
    <row r="3072" spans="9:11" ht="15" customHeight="1">
      <c r="I3072" s="35"/>
      <c r="J3072" s="35"/>
      <c r="K3072" s="35"/>
    </row>
    <row r="3073" spans="9:11" ht="15" customHeight="1">
      <c r="I3073" s="35"/>
      <c r="J3073" s="35"/>
      <c r="K3073" s="35"/>
    </row>
    <row r="3074" spans="9:11" ht="15" customHeight="1">
      <c r="I3074" s="35"/>
      <c r="J3074" s="35"/>
      <c r="K3074" s="35"/>
    </row>
    <row r="3075" spans="9:11" ht="15" customHeight="1">
      <c r="I3075" s="35"/>
      <c r="J3075" s="35"/>
      <c r="K3075" s="35"/>
    </row>
    <row r="3076" spans="9:11" ht="15" customHeight="1">
      <c r="I3076" s="35"/>
      <c r="J3076" s="35"/>
      <c r="K3076" s="35"/>
    </row>
    <row r="3077" spans="9:11" ht="15" customHeight="1">
      <c r="I3077" s="35"/>
      <c r="J3077" s="35"/>
      <c r="K3077" s="35"/>
    </row>
    <row r="3078" spans="9:11" ht="15" customHeight="1">
      <c r="I3078" s="35"/>
      <c r="J3078" s="35"/>
      <c r="K3078" s="35"/>
    </row>
    <row r="3079" spans="9:11" ht="15" customHeight="1">
      <c r="I3079" s="35"/>
      <c r="J3079" s="35"/>
      <c r="K3079" s="35"/>
    </row>
    <row r="3080" spans="9:11" ht="15" customHeight="1">
      <c r="I3080" s="35"/>
      <c r="J3080" s="35"/>
      <c r="K3080" s="35"/>
    </row>
    <row r="3081" spans="9:11" ht="15" customHeight="1">
      <c r="I3081" s="35"/>
      <c r="J3081" s="35"/>
      <c r="K3081" s="35"/>
    </row>
    <row r="3082" spans="9:11" ht="15" customHeight="1">
      <c r="I3082" s="35"/>
      <c r="J3082" s="35"/>
      <c r="K3082" s="35"/>
    </row>
    <row r="3083" spans="9:11" ht="15" customHeight="1">
      <c r="I3083" s="35"/>
      <c r="J3083" s="35"/>
      <c r="K3083" s="35"/>
    </row>
    <row r="3084" spans="9:11" ht="15" customHeight="1">
      <c r="I3084" s="35"/>
      <c r="J3084" s="35"/>
      <c r="K3084" s="35"/>
    </row>
    <row r="3085" spans="9:11" ht="15" customHeight="1">
      <c r="I3085" s="35"/>
      <c r="J3085" s="35"/>
      <c r="K3085" s="35"/>
    </row>
    <row r="3086" spans="9:11" ht="15" customHeight="1">
      <c r="I3086" s="35"/>
      <c r="J3086" s="35"/>
      <c r="K3086" s="35"/>
    </row>
    <row r="3087" spans="9:11" ht="15" customHeight="1">
      <c r="I3087" s="35"/>
      <c r="J3087" s="35"/>
      <c r="K3087" s="35"/>
    </row>
    <row r="3088" spans="9:11" ht="15" customHeight="1">
      <c r="I3088" s="35"/>
      <c r="J3088" s="35"/>
      <c r="K3088" s="35"/>
    </row>
    <row r="3089" spans="9:11" ht="15" customHeight="1">
      <c r="I3089" s="35"/>
      <c r="J3089" s="35"/>
      <c r="K3089" s="35"/>
    </row>
    <row r="3090" spans="9:11" ht="15" customHeight="1">
      <c r="I3090" s="35"/>
      <c r="J3090" s="35"/>
      <c r="K3090" s="35"/>
    </row>
    <row r="3091" spans="9:11" ht="15" customHeight="1">
      <c r="I3091" s="35"/>
      <c r="J3091" s="35"/>
      <c r="K3091" s="35"/>
    </row>
    <row r="3092" spans="9:11" ht="15" customHeight="1">
      <c r="I3092" s="35"/>
      <c r="J3092" s="35"/>
      <c r="K3092" s="35"/>
    </row>
    <row r="3093" spans="9:11" ht="15" customHeight="1">
      <c r="I3093" s="35"/>
      <c r="J3093" s="35"/>
      <c r="K3093" s="35"/>
    </row>
    <row r="3094" spans="9:11" ht="15" customHeight="1">
      <c r="I3094" s="35"/>
      <c r="J3094" s="35"/>
      <c r="K3094" s="35"/>
    </row>
    <row r="3095" spans="9:11" ht="15" customHeight="1">
      <c r="I3095" s="35"/>
      <c r="J3095" s="35"/>
      <c r="K3095" s="35"/>
    </row>
    <row r="3096" spans="9:11" ht="15" customHeight="1">
      <c r="I3096" s="35"/>
      <c r="J3096" s="35"/>
      <c r="K3096" s="35"/>
    </row>
    <row r="3097" spans="9:11" ht="15" customHeight="1">
      <c r="I3097" s="35"/>
      <c r="J3097" s="35"/>
      <c r="K3097" s="35"/>
    </row>
    <row r="3098" spans="9:11" ht="15" customHeight="1">
      <c r="I3098" s="35"/>
      <c r="J3098" s="35"/>
      <c r="K3098" s="35"/>
    </row>
    <row r="3099" spans="9:11" ht="15" customHeight="1">
      <c r="I3099" s="35"/>
      <c r="J3099" s="35"/>
      <c r="K3099" s="35"/>
    </row>
    <row r="3100" spans="9:11" ht="15" customHeight="1">
      <c r="I3100" s="35"/>
      <c r="J3100" s="35"/>
      <c r="K3100" s="35"/>
    </row>
    <row r="3101" spans="9:11" ht="15" customHeight="1">
      <c r="I3101" s="35"/>
      <c r="J3101" s="35"/>
      <c r="K3101" s="35"/>
    </row>
    <row r="3102" spans="9:11" ht="15" customHeight="1">
      <c r="I3102" s="35"/>
      <c r="J3102" s="35"/>
      <c r="K3102" s="35"/>
    </row>
    <row r="3103" spans="9:11" ht="15" customHeight="1">
      <c r="I3103" s="35"/>
      <c r="J3103" s="35"/>
      <c r="K3103" s="35"/>
    </row>
    <row r="3104" spans="9:11" ht="15" customHeight="1">
      <c r="I3104" s="35"/>
      <c r="J3104" s="35"/>
      <c r="K3104" s="35"/>
    </row>
    <row r="3105" spans="9:11" ht="15" customHeight="1">
      <c r="I3105" s="35"/>
      <c r="J3105" s="35"/>
      <c r="K3105" s="35"/>
    </row>
    <row r="3106" spans="9:11" ht="15" customHeight="1">
      <c r="I3106" s="35"/>
      <c r="J3106" s="35"/>
      <c r="K3106" s="35"/>
    </row>
    <row r="3107" spans="9:11" ht="15" customHeight="1">
      <c r="I3107" s="35"/>
      <c r="J3107" s="35"/>
      <c r="K3107" s="35"/>
    </row>
    <row r="3108" spans="9:11" ht="15" customHeight="1">
      <c r="I3108" s="35"/>
      <c r="J3108" s="35"/>
      <c r="K3108" s="35"/>
    </row>
    <row r="3109" spans="9:11" ht="15" customHeight="1">
      <c r="I3109" s="35"/>
      <c r="J3109" s="35"/>
      <c r="K3109" s="35"/>
    </row>
    <row r="3110" spans="9:11" ht="15" customHeight="1">
      <c r="I3110" s="35"/>
      <c r="J3110" s="35"/>
      <c r="K3110" s="35"/>
    </row>
    <row r="3111" spans="9:11" ht="15" customHeight="1">
      <c r="I3111" s="35"/>
      <c r="J3111" s="35"/>
      <c r="K3111" s="35"/>
    </row>
    <row r="3112" spans="9:11" ht="15" customHeight="1">
      <c r="I3112" s="35"/>
      <c r="J3112" s="35"/>
      <c r="K3112" s="35"/>
    </row>
    <row r="3113" spans="9:11" ht="15" customHeight="1">
      <c r="I3113" s="35"/>
      <c r="J3113" s="35"/>
      <c r="K3113" s="35"/>
    </row>
    <row r="3114" spans="9:11" ht="15" customHeight="1">
      <c r="I3114" s="35"/>
      <c r="J3114" s="35"/>
      <c r="K3114" s="35"/>
    </row>
    <row r="3115" spans="9:11" ht="15" customHeight="1">
      <c r="I3115" s="35"/>
      <c r="J3115" s="35"/>
      <c r="K3115" s="35"/>
    </row>
    <row r="3116" spans="9:11" ht="15" customHeight="1">
      <c r="I3116" s="35"/>
      <c r="J3116" s="35"/>
      <c r="K3116" s="35"/>
    </row>
    <row r="3117" spans="9:11" ht="15" customHeight="1">
      <c r="I3117" s="35"/>
      <c r="J3117" s="35"/>
      <c r="K3117" s="35"/>
    </row>
    <row r="3118" spans="9:11" ht="15" customHeight="1">
      <c r="I3118" s="35"/>
      <c r="J3118" s="35"/>
      <c r="K3118" s="35"/>
    </row>
    <row r="3119" spans="9:11" ht="15" customHeight="1">
      <c r="I3119" s="35"/>
      <c r="J3119" s="35"/>
      <c r="K3119" s="35"/>
    </row>
    <row r="3120" spans="9:11" ht="15" customHeight="1">
      <c r="I3120" s="35"/>
      <c r="J3120" s="35"/>
      <c r="K3120" s="35"/>
    </row>
    <row r="3121" spans="9:11" ht="15" customHeight="1">
      <c r="I3121" s="35"/>
      <c r="J3121" s="35"/>
      <c r="K3121" s="35"/>
    </row>
    <row r="3122" spans="9:11" ht="15" customHeight="1">
      <c r="I3122" s="35"/>
      <c r="J3122" s="35"/>
      <c r="K3122" s="35"/>
    </row>
    <row r="3123" spans="9:11" ht="15" customHeight="1">
      <c r="I3123" s="35"/>
      <c r="J3123" s="35"/>
      <c r="K3123" s="35"/>
    </row>
    <row r="3124" spans="9:11" ht="15" customHeight="1">
      <c r="I3124" s="35"/>
      <c r="J3124" s="35"/>
      <c r="K3124" s="35"/>
    </row>
    <row r="3125" spans="9:11" ht="15" customHeight="1">
      <c r="I3125" s="35"/>
      <c r="J3125" s="35"/>
      <c r="K3125" s="35"/>
    </row>
    <row r="3126" spans="9:11" ht="15" customHeight="1">
      <c r="I3126" s="35"/>
      <c r="J3126" s="35"/>
      <c r="K3126" s="35"/>
    </row>
    <row r="3127" spans="9:11" ht="15" customHeight="1">
      <c r="I3127" s="35"/>
      <c r="J3127" s="35"/>
      <c r="K3127" s="35"/>
    </row>
    <row r="3128" spans="9:11" ht="15" customHeight="1">
      <c r="I3128" s="35"/>
      <c r="J3128" s="35"/>
      <c r="K3128" s="35"/>
    </row>
    <row r="3129" spans="9:11" ht="15" customHeight="1">
      <c r="I3129" s="35"/>
      <c r="J3129" s="35"/>
      <c r="K3129" s="35"/>
    </row>
    <row r="3130" spans="9:11" ht="15" customHeight="1">
      <c r="I3130" s="35"/>
      <c r="J3130" s="35"/>
      <c r="K3130" s="35"/>
    </row>
    <row r="3131" spans="9:11" ht="15" customHeight="1">
      <c r="I3131" s="35"/>
      <c r="J3131" s="35"/>
      <c r="K3131" s="35"/>
    </row>
    <row r="3132" spans="9:11" ht="15" customHeight="1">
      <c r="I3132" s="35"/>
      <c r="J3132" s="35"/>
      <c r="K3132" s="35"/>
    </row>
    <row r="3133" spans="9:11" ht="15" customHeight="1">
      <c r="I3133" s="35"/>
      <c r="J3133" s="35"/>
      <c r="K3133" s="35"/>
    </row>
    <row r="3134" spans="9:11" ht="15" customHeight="1">
      <c r="I3134" s="35"/>
      <c r="J3134" s="35"/>
      <c r="K3134" s="35"/>
    </row>
    <row r="3135" spans="9:11" ht="15" customHeight="1">
      <c r="I3135" s="35"/>
      <c r="J3135" s="35"/>
      <c r="K3135" s="35"/>
    </row>
    <row r="3136" spans="9:11" ht="15" customHeight="1">
      <c r="I3136" s="35"/>
      <c r="J3136" s="35"/>
      <c r="K3136" s="35"/>
    </row>
    <row r="3137" spans="9:11" ht="15" customHeight="1">
      <c r="I3137" s="35"/>
      <c r="J3137" s="35"/>
      <c r="K3137" s="35"/>
    </row>
    <row r="3138" spans="9:11" ht="15" customHeight="1">
      <c r="I3138" s="35"/>
      <c r="J3138" s="35"/>
      <c r="K3138" s="35"/>
    </row>
    <row r="3139" spans="9:11" ht="15" customHeight="1">
      <c r="I3139" s="35"/>
      <c r="J3139" s="35"/>
      <c r="K3139" s="35"/>
    </row>
    <row r="3140" spans="9:11" ht="15" customHeight="1">
      <c r="I3140" s="35"/>
      <c r="J3140" s="35"/>
      <c r="K3140" s="35"/>
    </row>
    <row r="3141" spans="9:11" ht="15" customHeight="1">
      <c r="I3141" s="35"/>
      <c r="J3141" s="35"/>
      <c r="K3141" s="35"/>
    </row>
    <row r="3142" spans="9:11" ht="15" customHeight="1">
      <c r="I3142" s="35"/>
      <c r="J3142" s="35"/>
      <c r="K3142" s="35"/>
    </row>
    <row r="3143" spans="9:11" ht="15" customHeight="1">
      <c r="I3143" s="35"/>
      <c r="J3143" s="35"/>
      <c r="K3143" s="35"/>
    </row>
    <row r="3144" spans="9:11" ht="15" customHeight="1">
      <c r="I3144" s="35"/>
      <c r="J3144" s="35"/>
      <c r="K3144" s="35"/>
    </row>
    <row r="3145" spans="9:11" ht="15" customHeight="1">
      <c r="I3145" s="35"/>
      <c r="J3145" s="35"/>
      <c r="K3145" s="35"/>
    </row>
    <row r="3146" spans="9:11" ht="15" customHeight="1">
      <c r="I3146" s="35"/>
      <c r="J3146" s="35"/>
      <c r="K3146" s="35"/>
    </row>
    <row r="3147" spans="9:11" ht="15" customHeight="1">
      <c r="I3147" s="35"/>
      <c r="J3147" s="35"/>
      <c r="K3147" s="35"/>
    </row>
    <row r="3148" spans="9:11" ht="15" customHeight="1">
      <c r="I3148" s="35"/>
      <c r="J3148" s="35"/>
      <c r="K3148" s="35"/>
    </row>
    <row r="3149" spans="9:11" ht="15" customHeight="1">
      <c r="I3149" s="35"/>
      <c r="J3149" s="35"/>
      <c r="K3149" s="35"/>
    </row>
    <row r="3150" spans="9:11" ht="15" customHeight="1">
      <c r="I3150" s="35"/>
      <c r="J3150" s="35"/>
      <c r="K3150" s="35"/>
    </row>
    <row r="3151" spans="9:11" ht="15" customHeight="1">
      <c r="I3151" s="35"/>
      <c r="J3151" s="35"/>
      <c r="K3151" s="35"/>
    </row>
    <row r="3152" spans="9:11" ht="15" customHeight="1">
      <c r="I3152" s="35"/>
      <c r="J3152" s="35"/>
      <c r="K3152" s="35"/>
    </row>
    <row r="3153" spans="9:11" ht="15" customHeight="1">
      <c r="I3153" s="35"/>
      <c r="J3153" s="35"/>
      <c r="K3153" s="35"/>
    </row>
    <row r="3154" spans="9:11" ht="15" customHeight="1">
      <c r="I3154" s="35"/>
      <c r="J3154" s="35"/>
      <c r="K3154" s="35"/>
    </row>
    <row r="3155" spans="9:11" ht="15" customHeight="1">
      <c r="I3155" s="35"/>
      <c r="J3155" s="35"/>
      <c r="K3155" s="35"/>
    </row>
    <row r="3156" spans="9:11" ht="15" customHeight="1">
      <c r="I3156" s="35"/>
      <c r="J3156" s="35"/>
      <c r="K3156" s="35"/>
    </row>
    <row r="3157" spans="9:11" ht="15" customHeight="1">
      <c r="I3157" s="35"/>
      <c r="J3157" s="35"/>
      <c r="K3157" s="35"/>
    </row>
    <row r="3158" spans="9:11" ht="15" customHeight="1">
      <c r="I3158" s="35"/>
      <c r="J3158" s="35"/>
      <c r="K3158" s="35"/>
    </row>
    <row r="3159" spans="9:11" ht="15" customHeight="1">
      <c r="I3159" s="35"/>
      <c r="J3159" s="35"/>
      <c r="K3159" s="35"/>
    </row>
    <row r="3160" spans="9:11" ht="15" customHeight="1">
      <c r="I3160" s="35"/>
      <c r="J3160" s="35"/>
      <c r="K3160" s="35"/>
    </row>
    <row r="3161" spans="9:11" ht="15" customHeight="1">
      <c r="I3161" s="35"/>
      <c r="J3161" s="35"/>
      <c r="K3161" s="35"/>
    </row>
    <row r="3162" spans="9:11" ht="15" customHeight="1">
      <c r="I3162" s="35"/>
      <c r="J3162" s="35"/>
      <c r="K3162" s="35"/>
    </row>
    <row r="3163" spans="9:11" ht="15" customHeight="1">
      <c r="I3163" s="35"/>
      <c r="J3163" s="35"/>
      <c r="K3163" s="35"/>
    </row>
    <row r="3164" spans="9:11" ht="15" customHeight="1">
      <c r="I3164" s="35"/>
      <c r="J3164" s="35"/>
      <c r="K3164" s="35"/>
    </row>
    <row r="3165" spans="9:11" ht="15" customHeight="1">
      <c r="I3165" s="35"/>
      <c r="J3165" s="35"/>
      <c r="K3165" s="35"/>
    </row>
    <row r="3166" spans="9:11" ht="15" customHeight="1">
      <c r="I3166" s="35"/>
      <c r="J3166" s="35"/>
      <c r="K3166" s="35"/>
    </row>
    <row r="3167" spans="9:11" ht="15" customHeight="1">
      <c r="I3167" s="35"/>
      <c r="J3167" s="35"/>
      <c r="K3167" s="35"/>
    </row>
    <row r="3168" spans="9:11" ht="15" customHeight="1">
      <c r="I3168" s="35"/>
      <c r="J3168" s="35"/>
      <c r="K3168" s="35"/>
    </row>
    <row r="3169" spans="9:11" ht="15" customHeight="1">
      <c r="I3169" s="35"/>
      <c r="J3169" s="35"/>
      <c r="K3169" s="35"/>
    </row>
    <row r="3170" spans="9:11" ht="15" customHeight="1">
      <c r="I3170" s="35"/>
      <c r="J3170" s="35"/>
      <c r="K3170" s="35"/>
    </row>
    <row r="3171" spans="9:11" ht="15" customHeight="1">
      <c r="I3171" s="35"/>
      <c r="J3171" s="35"/>
      <c r="K3171" s="35"/>
    </row>
    <row r="3172" spans="9:11" ht="15" customHeight="1">
      <c r="I3172" s="35"/>
      <c r="J3172" s="35"/>
      <c r="K3172" s="35"/>
    </row>
    <row r="3173" spans="9:11" ht="15" customHeight="1">
      <c r="I3173" s="35"/>
      <c r="J3173" s="35"/>
      <c r="K3173" s="35"/>
    </row>
    <row r="3174" spans="9:11" ht="15" customHeight="1">
      <c r="I3174" s="35"/>
      <c r="J3174" s="35"/>
      <c r="K3174" s="35"/>
    </row>
    <row r="3175" spans="9:11" ht="15" customHeight="1">
      <c r="I3175" s="35"/>
      <c r="J3175" s="35"/>
      <c r="K3175" s="35"/>
    </row>
    <row r="3176" spans="9:11" ht="15" customHeight="1">
      <c r="I3176" s="35"/>
      <c r="J3176" s="35"/>
      <c r="K3176" s="35"/>
    </row>
    <row r="3177" spans="9:11" ht="15" customHeight="1">
      <c r="I3177" s="35"/>
      <c r="J3177" s="35"/>
      <c r="K3177" s="35"/>
    </row>
    <row r="3178" spans="9:11" ht="15" customHeight="1">
      <c r="I3178" s="35"/>
      <c r="J3178" s="35"/>
      <c r="K3178" s="35"/>
    </row>
    <row r="3179" spans="9:11" ht="15" customHeight="1">
      <c r="I3179" s="35"/>
      <c r="J3179" s="35"/>
      <c r="K3179" s="35"/>
    </row>
    <row r="3180" spans="9:11" ht="15" customHeight="1">
      <c r="I3180" s="35"/>
      <c r="J3180" s="35"/>
      <c r="K3180" s="35"/>
    </row>
    <row r="3181" spans="9:11" ht="15" customHeight="1">
      <c r="I3181" s="35"/>
      <c r="J3181" s="35"/>
      <c r="K3181" s="35"/>
    </row>
    <row r="3182" spans="9:11" ht="15" customHeight="1">
      <c r="I3182" s="35"/>
      <c r="J3182" s="35"/>
      <c r="K3182" s="35"/>
    </row>
    <row r="3183" spans="9:11" ht="15" customHeight="1">
      <c r="I3183" s="35"/>
      <c r="J3183" s="35"/>
      <c r="K3183" s="35"/>
    </row>
    <row r="3184" spans="9:11" ht="15" customHeight="1">
      <c r="I3184" s="35"/>
      <c r="J3184" s="35"/>
      <c r="K3184" s="35"/>
    </row>
    <row r="3185" spans="9:11" ht="15" customHeight="1">
      <c r="I3185" s="35"/>
      <c r="J3185" s="35"/>
      <c r="K3185" s="35"/>
    </row>
    <row r="3186" spans="9:11" ht="15" customHeight="1">
      <c r="I3186" s="35"/>
      <c r="J3186" s="35"/>
      <c r="K3186" s="35"/>
    </row>
    <row r="3187" spans="9:11" ht="15" customHeight="1">
      <c r="I3187" s="35"/>
      <c r="J3187" s="35"/>
      <c r="K3187" s="35"/>
    </row>
    <row r="3188" spans="9:11" ht="15" customHeight="1">
      <c r="I3188" s="35"/>
      <c r="J3188" s="35"/>
      <c r="K3188" s="35"/>
    </row>
    <row r="3189" spans="9:11" ht="15" customHeight="1">
      <c r="I3189" s="35"/>
      <c r="J3189" s="35"/>
      <c r="K3189" s="35"/>
    </row>
    <row r="3190" spans="9:11" ht="15" customHeight="1">
      <c r="I3190" s="35"/>
      <c r="J3190" s="35"/>
      <c r="K3190" s="35"/>
    </row>
    <row r="3191" spans="9:11" ht="15" customHeight="1">
      <c r="I3191" s="35"/>
      <c r="J3191" s="35"/>
      <c r="K3191" s="35"/>
    </row>
    <row r="3192" spans="9:11" ht="15" customHeight="1">
      <c r="I3192" s="35"/>
      <c r="J3192" s="35"/>
      <c r="K3192" s="35"/>
    </row>
    <row r="3193" spans="9:11" ht="15" customHeight="1">
      <c r="I3193" s="35"/>
      <c r="J3193" s="35"/>
      <c r="K3193" s="35"/>
    </row>
    <row r="3194" spans="9:11" ht="15" customHeight="1">
      <c r="I3194" s="35"/>
      <c r="J3194" s="35"/>
      <c r="K3194" s="35"/>
    </row>
    <row r="3195" spans="9:11" ht="15" customHeight="1">
      <c r="I3195" s="35"/>
      <c r="J3195" s="35"/>
      <c r="K3195" s="35"/>
    </row>
    <row r="3196" spans="9:11" ht="15" customHeight="1">
      <c r="I3196" s="35"/>
      <c r="J3196" s="35"/>
      <c r="K3196" s="35"/>
    </row>
    <row r="3197" spans="9:11" ht="15" customHeight="1">
      <c r="I3197" s="35"/>
      <c r="J3197" s="35"/>
      <c r="K3197" s="35"/>
    </row>
    <row r="3198" spans="9:11" ht="15" customHeight="1">
      <c r="I3198" s="35"/>
      <c r="J3198" s="35"/>
      <c r="K3198" s="35"/>
    </row>
    <row r="3199" spans="9:11" ht="15" customHeight="1">
      <c r="I3199" s="35"/>
      <c r="J3199" s="35"/>
      <c r="K3199" s="35"/>
    </row>
    <row r="3200" spans="9:11" ht="15" customHeight="1">
      <c r="I3200" s="35"/>
      <c r="J3200" s="35"/>
      <c r="K3200" s="35"/>
    </row>
    <row r="3201" spans="9:11" ht="15" customHeight="1">
      <c r="I3201" s="35"/>
      <c r="J3201" s="35"/>
      <c r="K3201" s="35"/>
    </row>
    <row r="3202" spans="9:11" ht="15" customHeight="1">
      <c r="I3202" s="35"/>
      <c r="J3202" s="35"/>
      <c r="K3202" s="35"/>
    </row>
    <row r="3203" spans="9:11" ht="15" customHeight="1">
      <c r="I3203" s="35"/>
      <c r="J3203" s="35"/>
      <c r="K3203" s="35"/>
    </row>
    <row r="3204" spans="9:11" ht="15" customHeight="1">
      <c r="I3204" s="35"/>
      <c r="J3204" s="35"/>
      <c r="K3204" s="35"/>
    </row>
    <row r="3205" spans="9:11" ht="15" customHeight="1">
      <c r="I3205" s="35"/>
      <c r="J3205" s="35"/>
      <c r="K3205" s="35"/>
    </row>
    <row r="3206" spans="9:11" ht="15" customHeight="1">
      <c r="I3206" s="35"/>
      <c r="J3206" s="35"/>
      <c r="K3206" s="35"/>
    </row>
    <row r="3207" spans="9:11" ht="15" customHeight="1">
      <c r="I3207" s="35"/>
      <c r="J3207" s="35"/>
      <c r="K3207" s="35"/>
    </row>
    <row r="3208" spans="9:11" ht="15" customHeight="1">
      <c r="I3208" s="35"/>
      <c r="J3208" s="35"/>
      <c r="K3208" s="35"/>
    </row>
    <row r="3209" spans="9:11" ht="15" customHeight="1">
      <c r="I3209" s="35"/>
      <c r="J3209" s="35"/>
      <c r="K3209" s="35"/>
    </row>
    <row r="3210" spans="9:11" ht="15" customHeight="1">
      <c r="I3210" s="35"/>
      <c r="J3210" s="35"/>
      <c r="K3210" s="35"/>
    </row>
    <row r="3211" spans="9:11" ht="15" customHeight="1">
      <c r="I3211" s="35"/>
      <c r="J3211" s="35"/>
      <c r="K3211" s="35"/>
    </row>
    <row r="3212" spans="9:11" ht="15" customHeight="1">
      <c r="I3212" s="35"/>
      <c r="J3212" s="35"/>
      <c r="K3212" s="35"/>
    </row>
    <row r="3213" spans="9:11" ht="15" customHeight="1">
      <c r="I3213" s="35"/>
      <c r="J3213" s="35"/>
      <c r="K3213" s="35"/>
    </row>
    <row r="3214" spans="9:11" ht="15" customHeight="1">
      <c r="I3214" s="35"/>
      <c r="J3214" s="35"/>
      <c r="K3214" s="35"/>
    </row>
    <row r="3215" spans="9:11" ht="15" customHeight="1">
      <c r="I3215" s="35"/>
      <c r="J3215" s="35"/>
      <c r="K3215" s="35"/>
    </row>
    <row r="3216" spans="9:11" ht="15" customHeight="1">
      <c r="I3216" s="35"/>
      <c r="J3216" s="35"/>
      <c r="K3216" s="35"/>
    </row>
    <row r="3217" spans="9:11" ht="15" customHeight="1">
      <c r="I3217" s="35"/>
      <c r="J3217" s="35"/>
      <c r="K3217" s="35"/>
    </row>
    <row r="3218" spans="9:11" ht="15" customHeight="1">
      <c r="I3218" s="35"/>
      <c r="J3218" s="35"/>
      <c r="K3218" s="35"/>
    </row>
    <row r="3219" spans="9:11" ht="15" customHeight="1">
      <c r="I3219" s="35"/>
      <c r="J3219" s="35"/>
      <c r="K3219" s="35"/>
    </row>
    <row r="3220" spans="9:11" ht="15" customHeight="1">
      <c r="I3220" s="35"/>
      <c r="J3220" s="35"/>
      <c r="K3220" s="35"/>
    </row>
    <row r="3221" spans="9:11" ht="15" customHeight="1">
      <c r="I3221" s="35"/>
      <c r="J3221" s="35"/>
      <c r="K3221" s="35"/>
    </row>
    <row r="3222" spans="9:11" ht="15" customHeight="1">
      <c r="I3222" s="35"/>
      <c r="J3222" s="35"/>
      <c r="K3222" s="35"/>
    </row>
    <row r="3223" spans="9:11" ht="15" customHeight="1">
      <c r="I3223" s="35"/>
      <c r="J3223" s="35"/>
      <c r="K3223" s="35"/>
    </row>
    <row r="3224" spans="9:11" ht="15" customHeight="1">
      <c r="I3224" s="35"/>
      <c r="J3224" s="35"/>
      <c r="K3224" s="35"/>
    </row>
    <row r="3225" spans="9:11" ht="15" customHeight="1">
      <c r="I3225" s="35"/>
      <c r="J3225" s="35"/>
      <c r="K3225" s="35"/>
    </row>
    <row r="3226" spans="9:11" ht="15" customHeight="1">
      <c r="I3226" s="35"/>
      <c r="J3226" s="35"/>
      <c r="K3226" s="35"/>
    </row>
    <row r="3227" spans="9:11" ht="15" customHeight="1">
      <c r="I3227" s="35"/>
      <c r="J3227" s="35"/>
      <c r="K3227" s="35"/>
    </row>
    <row r="3228" spans="9:11" ht="15" customHeight="1">
      <c r="I3228" s="35"/>
      <c r="J3228" s="35"/>
      <c r="K3228" s="35"/>
    </row>
    <row r="3229" spans="9:11" ht="15" customHeight="1">
      <c r="I3229" s="35"/>
      <c r="J3229" s="35"/>
      <c r="K3229" s="35"/>
    </row>
    <row r="3230" spans="9:11" ht="15" customHeight="1">
      <c r="I3230" s="35"/>
      <c r="J3230" s="35"/>
      <c r="K3230" s="35"/>
    </row>
    <row r="3231" spans="9:11" ht="15" customHeight="1">
      <c r="I3231" s="35"/>
      <c r="J3231" s="35"/>
      <c r="K3231" s="35"/>
    </row>
    <row r="3232" spans="9:11" ht="15" customHeight="1">
      <c r="I3232" s="35"/>
      <c r="J3232" s="35"/>
      <c r="K3232" s="35"/>
    </row>
    <row r="3233" spans="9:11" ht="15" customHeight="1">
      <c r="I3233" s="35"/>
      <c r="J3233" s="35"/>
      <c r="K3233" s="35"/>
    </row>
    <row r="3234" spans="9:11" ht="15" customHeight="1">
      <c r="I3234" s="35"/>
      <c r="J3234" s="35"/>
      <c r="K3234" s="35"/>
    </row>
    <row r="3235" spans="9:11" ht="15" customHeight="1">
      <c r="I3235" s="35"/>
      <c r="J3235" s="35"/>
      <c r="K3235" s="35"/>
    </row>
    <row r="3236" spans="9:11" ht="15" customHeight="1">
      <c r="I3236" s="35"/>
      <c r="J3236" s="35"/>
      <c r="K3236" s="35"/>
    </row>
    <row r="3237" spans="9:11" ht="15" customHeight="1">
      <c r="I3237" s="35"/>
      <c r="J3237" s="35"/>
      <c r="K3237" s="35"/>
    </row>
    <row r="3238" spans="9:11" ht="15" customHeight="1">
      <c r="I3238" s="35"/>
      <c r="J3238" s="35"/>
      <c r="K3238" s="35"/>
    </row>
    <row r="3239" spans="9:11" ht="15" customHeight="1">
      <c r="I3239" s="35"/>
      <c r="J3239" s="35"/>
      <c r="K3239" s="35"/>
    </row>
    <row r="3240" spans="9:11" ht="15" customHeight="1">
      <c r="I3240" s="35"/>
      <c r="J3240" s="35"/>
      <c r="K3240" s="35"/>
    </row>
    <row r="3241" spans="9:11" ht="15" customHeight="1">
      <c r="I3241" s="35"/>
      <c r="J3241" s="35"/>
      <c r="K3241" s="35"/>
    </row>
    <row r="3242" spans="9:11" ht="15" customHeight="1">
      <c r="I3242" s="35"/>
      <c r="J3242" s="35"/>
      <c r="K3242" s="35"/>
    </row>
    <row r="3243" spans="9:11" ht="15" customHeight="1">
      <c r="I3243" s="35"/>
      <c r="J3243" s="35"/>
      <c r="K3243" s="35"/>
    </row>
    <row r="3244" spans="9:11" ht="15" customHeight="1">
      <c r="I3244" s="35"/>
      <c r="J3244" s="35"/>
      <c r="K3244" s="35"/>
    </row>
    <row r="3245" spans="9:11" ht="15" customHeight="1">
      <c r="I3245" s="35"/>
      <c r="J3245" s="35"/>
      <c r="K3245" s="35"/>
    </row>
    <row r="3246" spans="9:11" ht="15" customHeight="1">
      <c r="I3246" s="35"/>
      <c r="J3246" s="35"/>
      <c r="K3246" s="35"/>
    </row>
    <row r="3247" spans="9:11" ht="15" customHeight="1">
      <c r="I3247" s="35"/>
      <c r="J3247" s="35"/>
      <c r="K3247" s="35"/>
    </row>
    <row r="3248" spans="9:11" ht="15" customHeight="1">
      <c r="I3248" s="35"/>
      <c r="J3248" s="35"/>
      <c r="K3248" s="35"/>
    </row>
    <row r="3249" spans="9:11" ht="15" customHeight="1">
      <c r="I3249" s="35"/>
      <c r="J3249" s="35"/>
      <c r="K3249" s="35"/>
    </row>
    <row r="3250" spans="9:11" ht="15" customHeight="1">
      <c r="I3250" s="35"/>
      <c r="J3250" s="35"/>
      <c r="K3250" s="35"/>
    </row>
    <row r="3251" spans="9:11" ht="15" customHeight="1">
      <c r="I3251" s="35"/>
      <c r="J3251" s="35"/>
      <c r="K3251" s="35"/>
    </row>
    <row r="3252" spans="9:11" ht="15" customHeight="1">
      <c r="I3252" s="35"/>
      <c r="J3252" s="35"/>
      <c r="K3252" s="35"/>
    </row>
    <row r="3253" spans="9:11" ht="15" customHeight="1">
      <c r="I3253" s="35"/>
      <c r="J3253" s="35"/>
      <c r="K3253" s="35"/>
    </row>
    <row r="3254" spans="9:11" ht="15" customHeight="1">
      <c r="I3254" s="35"/>
      <c r="J3254" s="35"/>
      <c r="K3254" s="35"/>
    </row>
    <row r="3255" spans="9:11" ht="15" customHeight="1">
      <c r="I3255" s="35"/>
      <c r="J3255" s="35"/>
      <c r="K3255" s="35"/>
    </row>
    <row r="3256" spans="9:11" ht="15" customHeight="1">
      <c r="I3256" s="35"/>
      <c r="J3256" s="35"/>
      <c r="K3256" s="35"/>
    </row>
    <row r="3257" spans="9:11" ht="15" customHeight="1">
      <c r="I3257" s="35"/>
      <c r="J3257" s="35"/>
      <c r="K3257" s="35"/>
    </row>
    <row r="3258" spans="9:11" ht="15" customHeight="1">
      <c r="I3258" s="35"/>
      <c r="J3258" s="35"/>
      <c r="K3258" s="35"/>
    </row>
    <row r="3259" spans="9:11" ht="15" customHeight="1">
      <c r="I3259" s="35"/>
      <c r="J3259" s="35"/>
      <c r="K3259" s="35"/>
    </row>
    <row r="3260" spans="9:11" ht="15" customHeight="1">
      <c r="I3260" s="35"/>
      <c r="J3260" s="35"/>
      <c r="K3260" s="35"/>
    </row>
    <row r="3261" spans="9:11" ht="15" customHeight="1">
      <c r="I3261" s="35"/>
      <c r="J3261" s="35"/>
      <c r="K3261" s="35"/>
    </row>
    <row r="3262" spans="9:11" ht="15" customHeight="1">
      <c r="I3262" s="35"/>
      <c r="J3262" s="35"/>
      <c r="K3262" s="35"/>
    </row>
    <row r="3263" spans="9:11" ht="15" customHeight="1">
      <c r="I3263" s="35"/>
      <c r="J3263" s="35"/>
      <c r="K3263" s="35"/>
    </row>
    <row r="3264" spans="9:11" ht="15" customHeight="1">
      <c r="I3264" s="35"/>
      <c r="J3264" s="35"/>
      <c r="K3264" s="35"/>
    </row>
    <row r="3265" spans="9:11" ht="15" customHeight="1">
      <c r="I3265" s="35"/>
      <c r="J3265" s="35"/>
      <c r="K3265" s="35"/>
    </row>
    <row r="3266" spans="9:11" ht="15" customHeight="1">
      <c r="I3266" s="35"/>
      <c r="J3266" s="35"/>
      <c r="K3266" s="35"/>
    </row>
    <row r="3267" spans="9:11" ht="15" customHeight="1">
      <c r="I3267" s="35"/>
      <c r="J3267" s="35"/>
      <c r="K3267" s="35"/>
    </row>
    <row r="3268" spans="9:11" ht="15" customHeight="1">
      <c r="I3268" s="35"/>
      <c r="J3268" s="35"/>
      <c r="K3268" s="35"/>
    </row>
    <row r="3269" spans="9:11" ht="15" customHeight="1">
      <c r="I3269" s="35"/>
      <c r="J3269" s="35"/>
      <c r="K3269" s="35"/>
    </row>
    <row r="3270" spans="9:11" ht="15" customHeight="1">
      <c r="I3270" s="35"/>
      <c r="J3270" s="35"/>
      <c r="K3270" s="35"/>
    </row>
    <row r="3271" spans="9:11" ht="15" customHeight="1">
      <c r="I3271" s="35"/>
      <c r="J3271" s="35"/>
      <c r="K3271" s="35"/>
    </row>
    <row r="3272" spans="9:11" ht="15" customHeight="1">
      <c r="I3272" s="35"/>
      <c r="J3272" s="35"/>
      <c r="K3272" s="35"/>
    </row>
    <row r="3273" spans="9:11" ht="15" customHeight="1">
      <c r="I3273" s="35"/>
      <c r="J3273" s="35"/>
      <c r="K3273" s="35"/>
    </row>
    <row r="3274" spans="9:11" ht="15" customHeight="1">
      <c r="I3274" s="35"/>
      <c r="J3274" s="35"/>
      <c r="K3274" s="35"/>
    </row>
    <row r="3275" spans="9:11" ht="15" customHeight="1">
      <c r="I3275" s="35"/>
      <c r="J3275" s="35"/>
      <c r="K3275" s="35"/>
    </row>
    <row r="3276" spans="9:11" ht="15" customHeight="1">
      <c r="I3276" s="35"/>
      <c r="J3276" s="35"/>
      <c r="K3276" s="35"/>
    </row>
    <row r="3277" spans="9:11" ht="15" customHeight="1">
      <c r="I3277" s="35"/>
      <c r="J3277" s="35"/>
      <c r="K3277" s="35"/>
    </row>
    <row r="3278" spans="9:11" ht="15" customHeight="1">
      <c r="I3278" s="35"/>
      <c r="J3278" s="35"/>
      <c r="K3278" s="35"/>
    </row>
    <row r="3279" spans="9:11" ht="15" customHeight="1">
      <c r="I3279" s="35"/>
      <c r="J3279" s="35"/>
      <c r="K3279" s="35"/>
    </row>
    <row r="3280" spans="9:11" ht="15" customHeight="1">
      <c r="I3280" s="35"/>
      <c r="J3280" s="35"/>
      <c r="K3280" s="35"/>
    </row>
    <row r="3281" spans="9:11" ht="15" customHeight="1">
      <c r="I3281" s="35"/>
      <c r="J3281" s="35"/>
      <c r="K3281" s="35"/>
    </row>
    <row r="3282" spans="9:11" ht="15" customHeight="1">
      <c r="I3282" s="35"/>
      <c r="J3282" s="35"/>
      <c r="K3282" s="35"/>
    </row>
    <row r="3283" spans="9:11" ht="15" customHeight="1">
      <c r="I3283" s="35"/>
      <c r="J3283" s="35"/>
      <c r="K3283" s="35"/>
    </row>
    <row r="3284" spans="9:11" ht="15" customHeight="1">
      <c r="I3284" s="35"/>
      <c r="J3284" s="35"/>
      <c r="K3284" s="35"/>
    </row>
    <row r="3285" spans="9:11" ht="15" customHeight="1">
      <c r="I3285" s="35"/>
      <c r="J3285" s="35"/>
      <c r="K3285" s="35"/>
    </row>
    <row r="3286" spans="9:11" ht="15" customHeight="1">
      <c r="I3286" s="35"/>
      <c r="J3286" s="35"/>
      <c r="K3286" s="35"/>
    </row>
    <row r="3287" spans="9:11" ht="15" customHeight="1">
      <c r="I3287" s="35"/>
      <c r="J3287" s="35"/>
      <c r="K3287" s="35"/>
    </row>
    <row r="3288" spans="9:11" ht="15" customHeight="1">
      <c r="I3288" s="35"/>
      <c r="J3288" s="35"/>
      <c r="K3288" s="35"/>
    </row>
    <row r="3289" spans="9:11" ht="15" customHeight="1">
      <c r="I3289" s="35"/>
      <c r="J3289" s="35"/>
      <c r="K3289" s="35"/>
    </row>
    <row r="3290" spans="9:11" ht="15" customHeight="1">
      <c r="I3290" s="35"/>
      <c r="J3290" s="35"/>
      <c r="K3290" s="35"/>
    </row>
    <row r="3291" spans="9:11" ht="15" customHeight="1">
      <c r="I3291" s="35"/>
      <c r="J3291" s="35"/>
      <c r="K3291" s="35"/>
    </row>
    <row r="3292" spans="9:11" ht="15" customHeight="1">
      <c r="I3292" s="35"/>
      <c r="J3292" s="35"/>
      <c r="K3292" s="35"/>
    </row>
    <row r="3293" spans="9:11" ht="15" customHeight="1">
      <c r="I3293" s="35"/>
      <c r="J3293" s="35"/>
      <c r="K3293" s="35"/>
    </row>
    <row r="3294" spans="9:11" ht="15" customHeight="1">
      <c r="I3294" s="35"/>
      <c r="J3294" s="35"/>
      <c r="K3294" s="35"/>
    </row>
    <row r="3295" spans="9:11" ht="15" customHeight="1">
      <c r="I3295" s="35"/>
      <c r="J3295" s="35"/>
      <c r="K3295" s="35"/>
    </row>
    <row r="3296" spans="9:11" ht="15" customHeight="1">
      <c r="I3296" s="35"/>
      <c r="J3296" s="35"/>
      <c r="K3296" s="35"/>
    </row>
    <row r="3297" spans="9:11" ht="15" customHeight="1">
      <c r="I3297" s="35"/>
      <c r="J3297" s="35"/>
      <c r="K3297" s="35"/>
    </row>
    <row r="3298" spans="9:11" ht="15" customHeight="1">
      <c r="I3298" s="35"/>
      <c r="J3298" s="35"/>
      <c r="K3298" s="35"/>
    </row>
    <row r="3299" spans="9:11" ht="15" customHeight="1">
      <c r="I3299" s="35"/>
      <c r="J3299" s="35"/>
      <c r="K3299" s="35"/>
    </row>
    <row r="3300" spans="9:11" ht="15" customHeight="1">
      <c r="I3300" s="35"/>
      <c r="J3300" s="35"/>
      <c r="K3300" s="35"/>
    </row>
    <row r="3301" spans="9:11" ht="15" customHeight="1">
      <c r="I3301" s="35"/>
      <c r="J3301" s="35"/>
      <c r="K3301" s="35"/>
    </row>
    <row r="3302" spans="9:11" ht="15" customHeight="1">
      <c r="I3302" s="35"/>
      <c r="J3302" s="35"/>
      <c r="K3302" s="35"/>
    </row>
    <row r="3303" spans="9:11" ht="15" customHeight="1">
      <c r="I3303" s="35"/>
      <c r="J3303" s="35"/>
      <c r="K3303" s="35"/>
    </row>
    <row r="3304" spans="9:11" ht="15" customHeight="1">
      <c r="I3304" s="35"/>
      <c r="J3304" s="35"/>
      <c r="K3304" s="35"/>
    </row>
    <row r="3305" spans="9:11" ht="15" customHeight="1">
      <c r="I3305" s="35"/>
      <c r="J3305" s="35"/>
      <c r="K3305" s="35"/>
    </row>
    <row r="3306" spans="9:11" ht="15" customHeight="1">
      <c r="I3306" s="35"/>
      <c r="J3306" s="35"/>
      <c r="K3306" s="35"/>
    </row>
    <row r="3307" spans="9:11" ht="15" customHeight="1">
      <c r="I3307" s="35"/>
      <c r="J3307" s="35"/>
      <c r="K3307" s="35"/>
    </row>
    <row r="3308" spans="9:11" ht="15" customHeight="1">
      <c r="I3308" s="35"/>
      <c r="J3308" s="35"/>
      <c r="K3308" s="35"/>
    </row>
    <row r="3309" spans="9:11" ht="15" customHeight="1">
      <c r="I3309" s="35"/>
      <c r="J3309" s="35"/>
      <c r="K3309" s="35"/>
    </row>
    <row r="3310" spans="9:11" ht="15" customHeight="1">
      <c r="I3310" s="35"/>
      <c r="J3310" s="35"/>
      <c r="K3310" s="35"/>
    </row>
    <row r="3311" spans="9:11" ht="15" customHeight="1">
      <c r="I3311" s="35"/>
      <c r="J3311" s="35"/>
      <c r="K3311" s="35"/>
    </row>
    <row r="3312" spans="9:11" ht="15" customHeight="1">
      <c r="I3312" s="35"/>
      <c r="J3312" s="35"/>
      <c r="K3312" s="35"/>
    </row>
    <row r="3313" spans="9:11" ht="15" customHeight="1">
      <c r="I3313" s="35"/>
      <c r="J3313" s="35"/>
      <c r="K3313" s="35"/>
    </row>
    <row r="3314" spans="9:11" ht="15" customHeight="1">
      <c r="I3314" s="35"/>
      <c r="J3314" s="35"/>
      <c r="K3314" s="35"/>
    </row>
    <row r="3315" spans="9:11" ht="15" customHeight="1">
      <c r="I3315" s="35"/>
      <c r="J3315" s="35"/>
      <c r="K3315" s="35"/>
    </row>
    <row r="3316" spans="9:11" ht="15" customHeight="1">
      <c r="I3316" s="35"/>
      <c r="J3316" s="35"/>
      <c r="K3316" s="35"/>
    </row>
    <row r="3317" spans="9:11" ht="15" customHeight="1">
      <c r="I3317" s="35"/>
      <c r="J3317" s="35"/>
      <c r="K3317" s="35"/>
    </row>
    <row r="3318" spans="9:11" ht="15" customHeight="1">
      <c r="I3318" s="35"/>
      <c r="J3318" s="35"/>
      <c r="K3318" s="35"/>
    </row>
    <row r="3319" spans="9:11" ht="15" customHeight="1">
      <c r="I3319" s="35"/>
      <c r="J3319" s="35"/>
      <c r="K3319" s="35"/>
    </row>
    <row r="3320" spans="9:11" ht="15" customHeight="1">
      <c r="I3320" s="35"/>
      <c r="J3320" s="35"/>
      <c r="K3320" s="35"/>
    </row>
    <row r="3321" spans="9:11" ht="15" customHeight="1">
      <c r="I3321" s="35"/>
      <c r="J3321" s="35"/>
      <c r="K3321" s="35"/>
    </row>
    <row r="3322" spans="9:11" ht="15" customHeight="1">
      <c r="I3322" s="35"/>
      <c r="J3322" s="35"/>
      <c r="K3322" s="35"/>
    </row>
    <row r="3323" spans="9:11" ht="15" customHeight="1">
      <c r="I3323" s="35"/>
      <c r="J3323" s="35"/>
      <c r="K3323" s="35"/>
    </row>
    <row r="3324" spans="9:11" ht="15" customHeight="1">
      <c r="I3324" s="35"/>
      <c r="J3324" s="35"/>
      <c r="K3324" s="35"/>
    </row>
    <row r="3325" spans="9:11" ht="15" customHeight="1">
      <c r="I3325" s="35"/>
      <c r="J3325" s="35"/>
      <c r="K3325" s="35"/>
    </row>
    <row r="3326" spans="9:11" ht="15" customHeight="1">
      <c r="I3326" s="35"/>
      <c r="J3326" s="35"/>
      <c r="K3326" s="35"/>
    </row>
    <row r="3327" spans="9:11" ht="15" customHeight="1">
      <c r="I3327" s="35"/>
      <c r="J3327" s="35"/>
      <c r="K3327" s="35"/>
    </row>
    <row r="3328" spans="9:11" ht="15" customHeight="1">
      <c r="I3328" s="35"/>
      <c r="J3328" s="35"/>
      <c r="K3328" s="35"/>
    </row>
    <row r="3329" spans="9:11" ht="15" customHeight="1">
      <c r="I3329" s="35"/>
      <c r="J3329" s="35"/>
      <c r="K3329" s="35"/>
    </row>
    <row r="3330" spans="9:11" ht="15" customHeight="1">
      <c r="I3330" s="35"/>
      <c r="J3330" s="35"/>
      <c r="K3330" s="35"/>
    </row>
    <row r="3331" spans="9:11" ht="15" customHeight="1">
      <c r="I3331" s="35"/>
      <c r="J3331" s="35"/>
      <c r="K3331" s="35"/>
    </row>
    <row r="3332" spans="9:11" ht="15" customHeight="1">
      <c r="I3332" s="35"/>
      <c r="J3332" s="35"/>
      <c r="K3332" s="35"/>
    </row>
    <row r="3333" spans="9:11" ht="15" customHeight="1">
      <c r="I3333" s="35"/>
      <c r="J3333" s="35"/>
      <c r="K3333" s="35"/>
    </row>
    <row r="3334" spans="9:11" ht="15" customHeight="1">
      <c r="I3334" s="35"/>
      <c r="J3334" s="35"/>
      <c r="K3334" s="35"/>
    </row>
    <row r="3335" spans="9:11" ht="15" customHeight="1">
      <c r="I3335" s="35"/>
      <c r="J3335" s="35"/>
      <c r="K3335" s="35"/>
    </row>
    <row r="3336" spans="9:11" ht="15" customHeight="1">
      <c r="I3336" s="35"/>
      <c r="J3336" s="35"/>
      <c r="K3336" s="35"/>
    </row>
    <row r="3337" spans="9:11" ht="15" customHeight="1">
      <c r="I3337" s="35"/>
      <c r="J3337" s="35"/>
      <c r="K3337" s="35"/>
    </row>
    <row r="3338" spans="9:11" ht="15" customHeight="1">
      <c r="I3338" s="35"/>
      <c r="J3338" s="35"/>
      <c r="K3338" s="35"/>
    </row>
    <row r="3339" spans="9:11" ht="15" customHeight="1">
      <c r="I3339" s="35"/>
      <c r="J3339" s="35"/>
      <c r="K3339" s="35"/>
    </row>
    <row r="3340" spans="9:11" ht="15" customHeight="1">
      <c r="I3340" s="35"/>
      <c r="J3340" s="35"/>
      <c r="K3340" s="35"/>
    </row>
    <row r="3341" spans="9:11" ht="15" customHeight="1">
      <c r="I3341" s="35"/>
      <c r="J3341" s="35"/>
      <c r="K3341" s="35"/>
    </row>
    <row r="3342" spans="9:11" ht="15" customHeight="1">
      <c r="I3342" s="35"/>
      <c r="J3342" s="35"/>
      <c r="K3342" s="35"/>
    </row>
    <row r="3343" spans="9:11" ht="15" customHeight="1">
      <c r="I3343" s="35"/>
      <c r="J3343" s="35"/>
      <c r="K3343" s="35"/>
    </row>
    <row r="3344" spans="9:11" ht="15" customHeight="1">
      <c r="I3344" s="35"/>
      <c r="J3344" s="35"/>
      <c r="K3344" s="35"/>
    </row>
    <row r="3345" spans="9:11" ht="15" customHeight="1">
      <c r="I3345" s="35"/>
      <c r="J3345" s="35"/>
      <c r="K3345" s="35"/>
    </row>
    <row r="3346" spans="9:11" ht="15" customHeight="1">
      <c r="I3346" s="35"/>
      <c r="J3346" s="35"/>
      <c r="K3346" s="35"/>
    </row>
    <row r="3347" spans="9:11" ht="15" customHeight="1">
      <c r="I3347" s="35"/>
      <c r="J3347" s="35"/>
      <c r="K3347" s="35"/>
    </row>
    <row r="3348" spans="9:11" ht="15" customHeight="1">
      <c r="I3348" s="35"/>
      <c r="J3348" s="35"/>
      <c r="K3348" s="35"/>
    </row>
    <row r="3349" spans="9:11" ht="15" customHeight="1">
      <c r="I3349" s="35"/>
      <c r="J3349" s="35"/>
      <c r="K3349" s="35"/>
    </row>
    <row r="3350" spans="9:11" ht="15" customHeight="1">
      <c r="I3350" s="35"/>
      <c r="J3350" s="35"/>
      <c r="K3350" s="35"/>
    </row>
    <row r="3351" spans="9:11" ht="15" customHeight="1">
      <c r="I3351" s="35"/>
      <c r="J3351" s="35"/>
      <c r="K3351" s="35"/>
    </row>
    <row r="3352" spans="9:11" ht="15" customHeight="1">
      <c r="I3352" s="35"/>
      <c r="J3352" s="35"/>
      <c r="K3352" s="35"/>
    </row>
    <row r="3353" spans="9:11" ht="15" customHeight="1">
      <c r="I3353" s="35"/>
      <c r="J3353" s="35"/>
      <c r="K3353" s="35"/>
    </row>
    <row r="3354" spans="9:11" ht="15" customHeight="1">
      <c r="I3354" s="35"/>
      <c r="J3354" s="35"/>
      <c r="K3354" s="35"/>
    </row>
    <row r="3355" spans="9:11" ht="15" customHeight="1">
      <c r="I3355" s="35"/>
      <c r="J3355" s="35"/>
      <c r="K3355" s="35"/>
    </row>
    <row r="3356" spans="9:11" ht="15" customHeight="1">
      <c r="I3356" s="35"/>
      <c r="J3356" s="35"/>
      <c r="K3356" s="35"/>
    </row>
    <row r="3357" spans="9:11" ht="15" customHeight="1">
      <c r="I3357" s="35"/>
      <c r="J3357" s="35"/>
      <c r="K3357" s="35"/>
    </row>
    <row r="3358" spans="9:11" ht="15" customHeight="1">
      <c r="I3358" s="35"/>
      <c r="J3358" s="35"/>
      <c r="K3358" s="35"/>
    </row>
    <row r="3359" spans="9:11" ht="15" customHeight="1">
      <c r="I3359" s="35"/>
      <c r="J3359" s="35"/>
      <c r="K3359" s="35"/>
    </row>
    <row r="3360" spans="9:11" ht="15" customHeight="1">
      <c r="I3360" s="35"/>
      <c r="J3360" s="35"/>
      <c r="K3360" s="35"/>
    </row>
    <row r="3361" spans="9:11" ht="15" customHeight="1">
      <c r="I3361" s="35"/>
      <c r="J3361" s="35"/>
      <c r="K3361" s="35"/>
    </row>
    <row r="3362" spans="9:11" ht="15" customHeight="1">
      <c r="I3362" s="35"/>
      <c r="J3362" s="35"/>
      <c r="K3362" s="35"/>
    </row>
    <row r="3363" spans="9:11" ht="15" customHeight="1">
      <c r="I3363" s="35"/>
      <c r="J3363" s="35"/>
      <c r="K3363" s="35"/>
    </row>
    <row r="3364" spans="9:11" ht="15" customHeight="1">
      <c r="I3364" s="35"/>
      <c r="J3364" s="35"/>
      <c r="K3364" s="35"/>
    </row>
    <row r="3365" spans="9:11" ht="15" customHeight="1">
      <c r="I3365" s="35"/>
      <c r="J3365" s="35"/>
      <c r="K3365" s="35"/>
    </row>
    <row r="3366" spans="9:11" ht="15" customHeight="1">
      <c r="I3366" s="35"/>
      <c r="J3366" s="35"/>
      <c r="K3366" s="35"/>
    </row>
    <row r="3367" spans="9:11" ht="15" customHeight="1">
      <c r="I3367" s="35"/>
      <c r="J3367" s="35"/>
      <c r="K3367" s="35"/>
    </row>
    <row r="3368" spans="9:11" ht="15" customHeight="1">
      <c r="I3368" s="35"/>
      <c r="J3368" s="35"/>
      <c r="K3368" s="35"/>
    </row>
    <row r="3369" spans="9:11" ht="15" customHeight="1">
      <c r="I3369" s="35"/>
      <c r="J3369" s="35"/>
      <c r="K3369" s="35"/>
    </row>
    <row r="3370" spans="9:11" ht="15" customHeight="1">
      <c r="I3370" s="35"/>
      <c r="J3370" s="35"/>
      <c r="K3370" s="35"/>
    </row>
    <row r="3371" spans="9:11" ht="15" customHeight="1">
      <c r="I3371" s="35"/>
      <c r="J3371" s="35"/>
      <c r="K3371" s="35"/>
    </row>
    <row r="3372" spans="9:11" ht="15" customHeight="1">
      <c r="I3372" s="35"/>
      <c r="J3372" s="35"/>
      <c r="K3372" s="35"/>
    </row>
    <row r="3373" spans="9:11" ht="15" customHeight="1">
      <c r="I3373" s="35"/>
      <c r="J3373" s="35"/>
      <c r="K3373" s="35"/>
    </row>
    <row r="3374" spans="9:11" ht="15" customHeight="1">
      <c r="I3374" s="35"/>
      <c r="J3374" s="35"/>
      <c r="K3374" s="35"/>
    </row>
    <row r="3375" spans="9:11" ht="15" customHeight="1">
      <c r="I3375" s="35"/>
      <c r="J3375" s="35"/>
      <c r="K3375" s="35"/>
    </row>
    <row r="3376" spans="9:11" ht="15" customHeight="1">
      <c r="I3376" s="35"/>
      <c r="J3376" s="35"/>
      <c r="K3376" s="35"/>
    </row>
    <row r="3377" spans="9:11" ht="15" customHeight="1">
      <c r="I3377" s="35"/>
      <c r="J3377" s="35"/>
      <c r="K3377" s="35"/>
    </row>
    <row r="3378" spans="9:11" ht="15" customHeight="1">
      <c r="I3378" s="35"/>
      <c r="J3378" s="35"/>
      <c r="K3378" s="35"/>
    </row>
    <row r="3379" spans="9:11" ht="15" customHeight="1">
      <c r="I3379" s="35"/>
      <c r="J3379" s="35"/>
      <c r="K3379" s="35"/>
    </row>
    <row r="3380" spans="9:11" ht="15" customHeight="1">
      <c r="I3380" s="35"/>
      <c r="J3380" s="35"/>
      <c r="K3380" s="35"/>
    </row>
    <row r="3381" spans="9:11" ht="15" customHeight="1">
      <c r="I3381" s="35"/>
      <c r="J3381" s="35"/>
      <c r="K3381" s="35"/>
    </row>
    <row r="3382" spans="9:11" ht="15" customHeight="1">
      <c r="I3382" s="35"/>
      <c r="J3382" s="35"/>
      <c r="K3382" s="35"/>
    </row>
    <row r="3383" spans="9:11" ht="15" customHeight="1">
      <c r="I3383" s="35"/>
      <c r="J3383" s="35"/>
      <c r="K3383" s="35"/>
    </row>
    <row r="3384" spans="9:11" ht="15" customHeight="1">
      <c r="I3384" s="35"/>
      <c r="J3384" s="35"/>
      <c r="K3384" s="35"/>
    </row>
    <row r="3385" spans="9:11" ht="15" customHeight="1">
      <c r="I3385" s="35"/>
      <c r="J3385" s="35"/>
      <c r="K3385" s="35"/>
    </row>
    <row r="3386" spans="9:11" ht="15" customHeight="1">
      <c r="I3386" s="35"/>
      <c r="J3386" s="35"/>
      <c r="K3386" s="35"/>
    </row>
    <row r="3387" spans="9:11" ht="15" customHeight="1">
      <c r="I3387" s="35"/>
      <c r="J3387" s="35"/>
      <c r="K3387" s="35"/>
    </row>
    <row r="3388" spans="9:11" ht="15" customHeight="1">
      <c r="I3388" s="35"/>
      <c r="J3388" s="35"/>
      <c r="K3388" s="35"/>
    </row>
    <row r="3389" spans="9:11" ht="15" customHeight="1">
      <c r="I3389" s="35"/>
      <c r="J3389" s="35"/>
      <c r="K3389" s="35"/>
    </row>
    <row r="3390" spans="9:11" ht="15" customHeight="1">
      <c r="I3390" s="35"/>
      <c r="J3390" s="35"/>
      <c r="K3390" s="35"/>
    </row>
    <row r="3391" spans="9:11" ht="15" customHeight="1">
      <c r="I3391" s="35"/>
      <c r="J3391" s="35"/>
      <c r="K3391" s="35"/>
    </row>
    <row r="3392" spans="9:11" ht="15" customHeight="1">
      <c r="I3392" s="35"/>
      <c r="J3392" s="35"/>
      <c r="K3392" s="35"/>
    </row>
    <row r="3393" spans="9:11" ht="15" customHeight="1">
      <c r="I3393" s="35"/>
      <c r="J3393" s="35"/>
      <c r="K3393" s="35"/>
    </row>
    <row r="3394" spans="9:11" ht="15" customHeight="1">
      <c r="I3394" s="35"/>
      <c r="J3394" s="35"/>
      <c r="K3394" s="35"/>
    </row>
    <row r="3395" spans="9:11" ht="15" customHeight="1">
      <c r="I3395" s="35"/>
      <c r="J3395" s="35"/>
      <c r="K3395" s="35"/>
    </row>
    <row r="3396" spans="9:11" ht="15" customHeight="1">
      <c r="I3396" s="35"/>
      <c r="J3396" s="35"/>
      <c r="K3396" s="35"/>
    </row>
    <row r="3397" spans="9:11" ht="15" customHeight="1">
      <c r="I3397" s="35"/>
      <c r="J3397" s="35"/>
      <c r="K3397" s="35"/>
    </row>
    <row r="3398" spans="9:11" ht="15" customHeight="1">
      <c r="I3398" s="35"/>
      <c r="J3398" s="35"/>
      <c r="K3398" s="35"/>
    </row>
    <row r="3399" spans="9:11" ht="15" customHeight="1">
      <c r="I3399" s="35"/>
      <c r="J3399" s="35"/>
      <c r="K3399" s="35"/>
    </row>
    <row r="3400" spans="9:11" ht="15" customHeight="1">
      <c r="I3400" s="35"/>
      <c r="J3400" s="35"/>
      <c r="K3400" s="35"/>
    </row>
    <row r="3401" spans="9:11" ht="15" customHeight="1">
      <c r="I3401" s="35"/>
      <c r="J3401" s="35"/>
      <c r="K3401" s="35"/>
    </row>
    <row r="3402" spans="9:11" ht="15" customHeight="1">
      <c r="I3402" s="35"/>
      <c r="J3402" s="35"/>
      <c r="K3402" s="35"/>
    </row>
    <row r="3403" spans="9:11" ht="15" customHeight="1">
      <c r="I3403" s="35"/>
      <c r="J3403" s="35"/>
      <c r="K3403" s="35"/>
    </row>
    <row r="3404" spans="9:11" ht="15" customHeight="1">
      <c r="I3404" s="35"/>
      <c r="J3404" s="35"/>
      <c r="K3404" s="35"/>
    </row>
    <row r="3405" spans="9:11" ht="15" customHeight="1">
      <c r="I3405" s="35"/>
      <c r="J3405" s="35"/>
      <c r="K3405" s="35"/>
    </row>
    <row r="3406" spans="9:11" ht="15" customHeight="1">
      <c r="I3406" s="35"/>
      <c r="J3406" s="35"/>
      <c r="K3406" s="35"/>
    </row>
    <row r="3407" spans="9:11" ht="15" customHeight="1">
      <c r="I3407" s="35"/>
      <c r="J3407" s="35"/>
      <c r="K3407" s="35"/>
    </row>
    <row r="3408" spans="9:11" ht="15" customHeight="1">
      <c r="I3408" s="35"/>
      <c r="J3408" s="35"/>
      <c r="K3408" s="35"/>
    </row>
    <row r="3409" spans="9:11" ht="15" customHeight="1">
      <c r="I3409" s="35"/>
      <c r="J3409" s="35"/>
      <c r="K3409" s="35"/>
    </row>
    <row r="3410" spans="9:11" ht="15" customHeight="1">
      <c r="I3410" s="35"/>
      <c r="J3410" s="35"/>
      <c r="K3410" s="35"/>
    </row>
    <row r="3411" spans="9:11" ht="15" customHeight="1">
      <c r="I3411" s="35"/>
      <c r="J3411" s="35"/>
      <c r="K3411" s="35"/>
    </row>
    <row r="3412" spans="9:11" ht="15" customHeight="1">
      <c r="I3412" s="35"/>
      <c r="J3412" s="35"/>
      <c r="K3412" s="35"/>
    </row>
    <row r="3413" spans="9:11" ht="15" customHeight="1">
      <c r="I3413" s="35"/>
      <c r="J3413" s="35"/>
      <c r="K3413" s="35"/>
    </row>
    <row r="3414" spans="9:11" ht="15" customHeight="1">
      <c r="I3414" s="35"/>
      <c r="J3414" s="35"/>
      <c r="K3414" s="35"/>
    </row>
    <row r="3415" spans="9:11" ht="15" customHeight="1">
      <c r="I3415" s="35"/>
      <c r="J3415" s="35"/>
      <c r="K3415" s="35"/>
    </row>
    <row r="3416" spans="9:11" ht="15" customHeight="1">
      <c r="I3416" s="35"/>
      <c r="J3416" s="35"/>
      <c r="K3416" s="35"/>
    </row>
    <row r="3417" spans="9:11" ht="15" customHeight="1">
      <c r="I3417" s="35"/>
      <c r="J3417" s="35"/>
      <c r="K3417" s="35"/>
    </row>
    <row r="3418" spans="9:11" ht="15" customHeight="1">
      <c r="I3418" s="35"/>
      <c r="J3418" s="35"/>
      <c r="K3418" s="35"/>
    </row>
    <row r="3419" spans="9:11" ht="15" customHeight="1">
      <c r="I3419" s="35"/>
      <c r="J3419" s="35"/>
      <c r="K3419" s="35"/>
    </row>
    <row r="3420" spans="9:11" ht="15" customHeight="1">
      <c r="I3420" s="35"/>
      <c r="J3420" s="35"/>
      <c r="K3420" s="35"/>
    </row>
    <row r="3421" spans="9:11" ht="15" customHeight="1">
      <c r="I3421" s="35"/>
      <c r="J3421" s="35"/>
      <c r="K3421" s="35"/>
    </row>
    <row r="3422" spans="9:11" ht="15" customHeight="1">
      <c r="I3422" s="35"/>
      <c r="J3422" s="35"/>
      <c r="K3422" s="35"/>
    </row>
    <row r="3423" spans="9:11" ht="15" customHeight="1">
      <c r="I3423" s="35"/>
      <c r="J3423" s="35"/>
      <c r="K3423" s="35"/>
    </row>
    <row r="3424" spans="9:11" ht="15" customHeight="1">
      <c r="I3424" s="35"/>
      <c r="J3424" s="35"/>
      <c r="K3424" s="35"/>
    </row>
    <row r="3425" spans="9:11" ht="15" customHeight="1">
      <c r="I3425" s="35"/>
      <c r="J3425" s="35"/>
      <c r="K3425" s="35"/>
    </row>
    <row r="3426" spans="9:11" ht="15" customHeight="1">
      <c r="I3426" s="35"/>
      <c r="J3426" s="35"/>
      <c r="K3426" s="35"/>
    </row>
    <row r="3427" spans="9:11" ht="15" customHeight="1">
      <c r="I3427" s="35"/>
      <c r="J3427" s="35"/>
      <c r="K3427" s="35"/>
    </row>
    <row r="3428" spans="9:11" ht="15" customHeight="1">
      <c r="I3428" s="35"/>
      <c r="J3428" s="35"/>
      <c r="K3428" s="35"/>
    </row>
    <row r="3429" spans="9:11" ht="15" customHeight="1">
      <c r="I3429" s="35"/>
      <c r="J3429" s="35"/>
      <c r="K3429" s="35"/>
    </row>
  </sheetData>
  <mergeCells count="12">
    <mergeCell ref="B245:B259"/>
    <mergeCell ref="B272:B299"/>
    <mergeCell ref="B21:B85"/>
    <mergeCell ref="B88:B139"/>
    <mergeCell ref="B142:B161"/>
    <mergeCell ref="B164:B174"/>
    <mergeCell ref="B180:B206"/>
    <mergeCell ref="C272:C299"/>
    <mergeCell ref="B234:B242"/>
    <mergeCell ref="B209:B231"/>
    <mergeCell ref="A2:O2"/>
    <mergeCell ref="P2:Q2"/>
  </mergeCells>
  <pageMargins left="0.7" right="0.7" top="0.75" bottom="0.75" header="0" footer="0"/>
  <pageSetup paperSize="5" scale="1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Takeoff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Wajid</dc:creator>
  <cp:lastModifiedBy>RIZWAN</cp:lastModifiedBy>
  <cp:lastPrinted>2023-12-11T15:48:09Z</cp:lastPrinted>
  <dcterms:created xsi:type="dcterms:W3CDTF">2020-10-24T04:59:00Z</dcterms:created>
  <dcterms:modified xsi:type="dcterms:W3CDTF">2025-06-10T20:07:37Z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edDataId">
    <vt:lpwstr>{2DA9D1F9-714F-486C-97AC-A5BCB4BD7585}</vt:lpwstr>
  </property>
  <property fmtid="{D5CDD505-2E9C-101B-9397-08002B2CF9AE}" pid="3" name="PS9Connected">
    <vt:bool>true</vt:bool>
  </property>
  <property fmtid="{D5CDD505-2E9C-101B-9397-08002B2CF9AE}" pid="4" name="ICV">
    <vt:lpwstr>75B25973A0274901ADACCAE832DEBDB1</vt:lpwstr>
  </property>
  <property fmtid="{D5CDD505-2E9C-101B-9397-08002B2CF9AE}" pid="5" name="PlanSwiftJobName">
    <vt:lpwstr/>
  </property>
  <property fmtid="{D5CDD505-2E9C-101B-9397-08002B2CF9AE}" pid="6" name="PlanSwiftJobGuid">
    <vt:lpwstr/>
  </property>
  <property fmtid="{D5CDD505-2E9C-101B-9397-08002B2CF9AE}" pid="7" name="KSOProductBuildVer">
    <vt:lpwstr>1033-11.2.0.11537</vt:lpwstr>
  </property>
</Properties>
</file>